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enosm\Desktop\SGC 2022\SGC\PROCESOS ESTRATEGICOS\103 OFICINA DE PLANEACION INSTITUCIONAL -GPI\3 SISTEMAS DE GESTION - MEJORA CONTINUA\PROCEDIMIENTOS\1 CONTROL DOCUMENTOS Y REGISTROS\"/>
    </mc:Choice>
  </mc:AlternateContent>
  <xr:revisionPtr revIDLastSave="0" documentId="13_ncr:1_{4520B0B8-CB53-491A-9305-B4DD7113759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ONSORCIO HG" sheetId="9" r:id="rId1"/>
    <sheet name="memorias de calculo" sheetId="13" r:id="rId2"/>
  </sheets>
  <definedNames>
    <definedName name="_xlnm.Print_Area" localSheetId="0">'CONSORCIO HG'!$B$6:$K$123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3" i="9" l="1"/>
  <c r="K88" i="9"/>
  <c r="K89" i="9"/>
  <c r="K90" i="9"/>
  <c r="K87" i="9"/>
  <c r="K81" i="9"/>
  <c r="K77" i="9"/>
  <c r="K69" i="9"/>
  <c r="K64" i="9"/>
  <c r="K43" i="9" l="1"/>
  <c r="K40" i="9"/>
  <c r="K41" i="9"/>
  <c r="I40" i="9"/>
  <c r="I41" i="9"/>
  <c r="I43" i="9"/>
  <c r="K32" i="9"/>
  <c r="I32" i="9"/>
  <c r="K22" i="9"/>
  <c r="J22" i="9"/>
  <c r="J32" i="9"/>
  <c r="J40" i="9"/>
  <c r="J41" i="9"/>
  <c r="J42" i="9"/>
  <c r="J43" i="9"/>
  <c r="J47" i="9"/>
  <c r="K47" i="9" s="1"/>
  <c r="J48" i="9"/>
  <c r="K48" i="9" s="1"/>
  <c r="G171" i="13" l="1"/>
  <c r="G172" i="13"/>
  <c r="G173" i="13"/>
  <c r="G174" i="13"/>
  <c r="G170" i="13"/>
  <c r="G169" i="13"/>
  <c r="E183" i="13"/>
  <c r="H75" i="9" l="1"/>
  <c r="I81" i="9"/>
  <c r="I88" i="9"/>
  <c r="I89" i="9"/>
  <c r="I87" i="9"/>
  <c r="H91" i="9"/>
  <c r="I100" i="9"/>
  <c r="I101" i="9"/>
  <c r="I69" i="9"/>
  <c r="I64" i="9"/>
  <c r="E177" i="13"/>
  <c r="F183" i="13"/>
  <c r="K178" i="13"/>
  <c r="L178" i="13" s="1"/>
  <c r="M178" i="13" s="1"/>
  <c r="F177" i="13"/>
  <c r="K177" i="13"/>
  <c r="L177" i="13" s="1"/>
  <c r="M177" i="13" s="1"/>
  <c r="H78" i="9"/>
  <c r="C197" i="13"/>
  <c r="C198" i="13" s="1"/>
  <c r="C199" i="13" s="1"/>
  <c r="C200" i="13" s="1"/>
  <c r="C201" i="13" s="1"/>
  <c r="C192" i="13"/>
  <c r="C193" i="13" s="1"/>
  <c r="C194" i="13" s="1"/>
  <c r="C195" i="13" s="1"/>
  <c r="C157" i="13"/>
  <c r="C164" i="13" s="1"/>
  <c r="C167" i="13" s="1"/>
  <c r="H19" i="9"/>
  <c r="G123" i="13"/>
  <c r="G122" i="13"/>
  <c r="M121" i="13"/>
  <c r="K121" i="13"/>
  <c r="M120" i="13"/>
  <c r="M119" i="13"/>
  <c r="M118" i="13"/>
  <c r="M117" i="13"/>
  <c r="M116" i="13"/>
  <c r="M115" i="13"/>
  <c r="M114" i="13"/>
  <c r="G37" i="13"/>
  <c r="G36" i="13"/>
  <c r="G45" i="13"/>
  <c r="G121" i="13" s="1"/>
  <c r="G44" i="13"/>
  <c r="G120" i="13" s="1"/>
  <c r="G74" i="13" s="1"/>
  <c r="G43" i="13"/>
  <c r="G119" i="13" s="1"/>
  <c r="G42" i="13"/>
  <c r="G118" i="13" s="1"/>
  <c r="G41" i="13"/>
  <c r="G117" i="13" s="1"/>
  <c r="G32" i="13"/>
  <c r="G110" i="13" s="1"/>
  <c r="G80" i="13"/>
  <c r="G85" i="13"/>
  <c r="G79" i="13"/>
  <c r="G55" i="13"/>
  <c r="G60" i="13"/>
  <c r="G54" i="13"/>
  <c r="N99" i="13"/>
  <c r="N98" i="13"/>
  <c r="N97" i="13"/>
  <c r="N96" i="13"/>
  <c r="E95" i="13"/>
  <c r="G77" i="13" l="1"/>
  <c r="H90" i="9"/>
  <c r="I90" i="9" s="1"/>
  <c r="H77" i="9"/>
  <c r="I77" i="9" s="1"/>
  <c r="K19" i="9"/>
  <c r="J19" i="9"/>
  <c r="C168" i="13"/>
  <c r="C175" i="13" s="1"/>
  <c r="C184" i="13" s="1"/>
  <c r="G72" i="13"/>
  <c r="K72" i="13"/>
  <c r="G73" i="13"/>
  <c r="K73" i="13"/>
  <c r="G71" i="13"/>
  <c r="K71" i="13"/>
  <c r="G75" i="13"/>
  <c r="K75" i="13"/>
  <c r="G76" i="13"/>
  <c r="G63" i="13"/>
  <c r="K74" i="13"/>
  <c r="E86" i="13"/>
  <c r="G40" i="13"/>
  <c r="G116" i="13" s="1"/>
  <c r="N50" i="13"/>
  <c r="O50" i="13" s="1"/>
  <c r="G35" i="13"/>
  <c r="F86" i="13"/>
  <c r="F78" i="13"/>
  <c r="E75" i="13"/>
  <c r="G31" i="13"/>
  <c r="G33" i="13"/>
  <c r="G34" i="13"/>
  <c r="G128" i="13"/>
  <c r="G129" i="13"/>
  <c r="G127" i="13"/>
  <c r="G126" i="13"/>
  <c r="F106" i="13"/>
  <c r="K89" i="13"/>
  <c r="L89" i="13" s="1"/>
  <c r="M89" i="13" s="1"/>
  <c r="E103" i="13"/>
  <c r="E106" i="13" s="1"/>
  <c r="F95" i="13"/>
  <c r="K88" i="13"/>
  <c r="L88" i="13" s="1"/>
  <c r="M88" i="13" s="1"/>
  <c r="O88" i="13" s="1"/>
  <c r="E121" i="13"/>
  <c r="N42" i="13"/>
  <c r="E45" i="13"/>
  <c r="N26" i="13"/>
  <c r="N25" i="13"/>
  <c r="G39" i="13"/>
  <c r="G115" i="13" s="1"/>
  <c r="G38" i="13"/>
  <c r="G114" i="13" s="1"/>
  <c r="H73" i="9" l="1"/>
  <c r="G58" i="13"/>
  <c r="G83" i="13"/>
  <c r="G56" i="13"/>
  <c r="G81" i="13"/>
  <c r="G112" i="13"/>
  <c r="G65" i="13"/>
  <c r="G70" i="13"/>
  <c r="K70" i="13"/>
  <c r="G68" i="13"/>
  <c r="K68" i="13"/>
  <c r="G57" i="13"/>
  <c r="G82" i="13"/>
  <c r="G64" i="13"/>
  <c r="G111" i="13"/>
  <c r="G69" i="13"/>
  <c r="K69" i="13"/>
  <c r="G84" i="13"/>
  <c r="G59" i="13"/>
  <c r="G109" i="13"/>
  <c r="G62" i="13"/>
  <c r="G113" i="13"/>
  <c r="G67" i="13"/>
  <c r="E78" i="13"/>
  <c r="M26" i="13"/>
  <c r="M27" i="13" s="1"/>
  <c r="M28" i="13" s="1"/>
  <c r="M29" i="13" s="1"/>
  <c r="M30" i="13" s="1"/>
  <c r="M31" i="13" s="1"/>
  <c r="M39" i="13"/>
  <c r="K34" i="13"/>
  <c r="M34" i="13" s="1"/>
  <c r="F26" i="13"/>
  <c r="M7" i="13"/>
  <c r="M6" i="13"/>
  <c r="K7" i="13"/>
  <c r="F24" i="13"/>
  <c r="E25" i="13"/>
  <c r="I22" i="9"/>
  <c r="I47" i="9"/>
  <c r="I48" i="9"/>
  <c r="H51" i="9"/>
  <c r="H52" i="9"/>
  <c r="H53" i="9"/>
  <c r="I19" i="9"/>
  <c r="N13" i="13"/>
  <c r="N11" i="13"/>
  <c r="I53" i="9" l="1"/>
  <c r="K53" i="9"/>
  <c r="J53" i="9"/>
  <c r="I52" i="9"/>
  <c r="J52" i="9"/>
  <c r="K52" i="9"/>
  <c r="I51" i="9"/>
  <c r="J51" i="9"/>
  <c r="K51" i="9"/>
  <c r="H29" i="9"/>
  <c r="H30" i="9"/>
  <c r="H28" i="9"/>
  <c r="H33" i="9"/>
  <c r="H31" i="9"/>
  <c r="H18" i="9"/>
  <c r="C147" i="13"/>
  <c r="C148" i="13" s="1"/>
  <c r="C149" i="13" s="1"/>
  <c r="C142" i="13"/>
  <c r="C144" i="13" s="1"/>
  <c r="C145" i="13" s="1"/>
  <c r="C135" i="13"/>
  <c r="C137" i="13" s="1"/>
  <c r="C138" i="13" s="1"/>
  <c r="C139" i="13" s="1"/>
  <c r="C140" i="13" s="1"/>
  <c r="C132" i="13"/>
  <c r="C30" i="13"/>
  <c r="C53" i="13" s="1"/>
  <c r="C61" i="13" s="1"/>
  <c r="C66" i="13" s="1"/>
  <c r="C87" i="13" s="1"/>
  <c r="C107" i="13" s="1"/>
  <c r="C108" i="13" s="1"/>
  <c r="C5" i="13"/>
  <c r="C11" i="13" s="1"/>
  <c r="C12" i="13" s="1"/>
  <c r="C15" i="13" s="1"/>
  <c r="C18" i="13" s="1"/>
  <c r="C19" i="13" s="1"/>
  <c r="C27" i="13" s="1"/>
  <c r="H20" i="9" l="1"/>
  <c r="I54" i="9"/>
  <c r="I33" i="9"/>
  <c r="K33" i="9"/>
  <c r="J33" i="9"/>
  <c r="J28" i="9"/>
  <c r="J18" i="9"/>
  <c r="K18" i="9"/>
  <c r="I30" i="9"/>
  <c r="K30" i="9"/>
  <c r="J30" i="9"/>
  <c r="K31" i="9"/>
  <c r="J31" i="9"/>
  <c r="I31" i="9"/>
  <c r="I29" i="9"/>
  <c r="K29" i="9"/>
  <c r="J29" i="9"/>
  <c r="K54" i="9"/>
  <c r="H39" i="9"/>
  <c r="H36" i="9"/>
  <c r="H46" i="9"/>
  <c r="H23" i="9"/>
  <c r="H27" i="9"/>
  <c r="H24" i="9"/>
  <c r="I46" i="9" l="1"/>
  <c r="I49" i="9" s="1"/>
  <c r="J46" i="9"/>
  <c r="K46" i="9"/>
  <c r="K49" i="9" s="1"/>
  <c r="J24" i="9"/>
  <c r="I36" i="9"/>
  <c r="I37" i="9" s="1"/>
  <c r="K36" i="9"/>
  <c r="J36" i="9"/>
  <c r="J27" i="9"/>
  <c r="I27" i="9"/>
  <c r="K27" i="9"/>
  <c r="I39" i="9"/>
  <c r="J39" i="9"/>
  <c r="K39" i="9"/>
  <c r="K20" i="9"/>
  <c r="J20" i="9"/>
  <c r="I23" i="9"/>
  <c r="K23" i="9"/>
  <c r="J23" i="9"/>
  <c r="H21" i="9"/>
  <c r="I20" i="9"/>
  <c r="I18" i="9"/>
  <c r="K37" i="9" l="1"/>
  <c r="I21" i="9"/>
  <c r="K21" i="9"/>
  <c r="J21" i="9"/>
  <c r="I102" i="9"/>
  <c r="K91" i="9" l="1"/>
  <c r="K92" i="9" s="1"/>
  <c r="I91" i="9"/>
  <c r="I92" i="9" s="1"/>
  <c r="I84" i="9"/>
  <c r="K84" i="9"/>
  <c r="I24" i="9"/>
  <c r="I25" i="9" s="1"/>
  <c r="K24" i="9"/>
  <c r="K25" i="9" s="1"/>
  <c r="F99" i="9"/>
  <c r="I99" i="9" s="1"/>
  <c r="I103" i="9" s="1"/>
  <c r="F83" i="9"/>
  <c r="F78" i="9"/>
  <c r="F76" i="9"/>
  <c r="F75" i="9"/>
  <c r="F74" i="9"/>
  <c r="F73" i="9"/>
  <c r="F65" i="9"/>
  <c r="F67" i="9"/>
  <c r="K78" i="9" l="1"/>
  <c r="I78" i="9"/>
  <c r="I67" i="9"/>
  <c r="K67" i="9"/>
  <c r="K75" i="9"/>
  <c r="I75" i="9"/>
  <c r="I83" i="9"/>
  <c r="K83" i="9"/>
  <c r="K73" i="9"/>
  <c r="I73" i="9"/>
  <c r="K74" i="9"/>
  <c r="I74" i="9"/>
  <c r="I82" i="9"/>
  <c r="K82" i="9"/>
  <c r="I65" i="9"/>
  <c r="K65" i="9"/>
  <c r="I76" i="9"/>
  <c r="K76" i="9"/>
  <c r="F66" i="9"/>
  <c r="F70" i="9"/>
  <c r="F68" i="9"/>
  <c r="I85" i="9" l="1"/>
  <c r="I79" i="9"/>
  <c r="I68" i="9"/>
  <c r="K68" i="9"/>
  <c r="I70" i="9"/>
  <c r="K70" i="9"/>
  <c r="I66" i="9"/>
  <c r="K66" i="9"/>
  <c r="K79" i="9"/>
  <c r="F96" i="9"/>
  <c r="F95" i="9"/>
  <c r="F94" i="9"/>
  <c r="I71" i="9" l="1"/>
  <c r="K71" i="9"/>
  <c r="I94" i="9"/>
  <c r="K94" i="9"/>
  <c r="I95" i="9"/>
  <c r="K95" i="9"/>
  <c r="I96" i="9"/>
  <c r="K96" i="9"/>
  <c r="I42" i="9"/>
  <c r="I44" i="9" s="1"/>
  <c r="K42" i="9"/>
  <c r="K44" i="9" s="1"/>
  <c r="I97" i="9" l="1"/>
  <c r="I104" i="9" s="1"/>
  <c r="I105" i="9" s="1"/>
  <c r="K97" i="9"/>
  <c r="K104" i="9" s="1"/>
  <c r="K28" i="9"/>
  <c r="K34" i="9" s="1"/>
  <c r="K55" i="9" s="1"/>
  <c r="I28" i="9"/>
  <c r="I107" i="9"/>
  <c r="G19" i="9"/>
  <c r="G20" i="9"/>
  <c r="G39" i="9"/>
  <c r="G18" i="9"/>
  <c r="G102" i="9"/>
  <c r="G101" i="9"/>
  <c r="G100" i="9"/>
  <c r="G99" i="9"/>
  <c r="B99" i="9"/>
  <c r="B100" i="9" s="1"/>
  <c r="B101" i="9" s="1"/>
  <c r="B102" i="9" s="1"/>
  <c r="G96" i="9"/>
  <c r="G95" i="9"/>
  <c r="G94" i="9"/>
  <c r="B94" i="9"/>
  <c r="B95" i="9" s="1"/>
  <c r="B96" i="9" s="1"/>
  <c r="G89" i="9"/>
  <c r="G88" i="9"/>
  <c r="G87" i="9"/>
  <c r="B87" i="9"/>
  <c r="B88" i="9" s="1"/>
  <c r="B89" i="9" s="1"/>
  <c r="B90" i="9" s="1"/>
  <c r="B91" i="9" s="1"/>
  <c r="G84" i="9"/>
  <c r="G83" i="9"/>
  <c r="G82" i="9"/>
  <c r="G81" i="9"/>
  <c r="B81" i="9"/>
  <c r="B82" i="9" s="1"/>
  <c r="B83" i="9" s="1"/>
  <c r="B84" i="9" s="1"/>
  <c r="G76" i="9"/>
  <c r="B73" i="9"/>
  <c r="B74" i="9" s="1"/>
  <c r="B75" i="9" s="1"/>
  <c r="B76" i="9" s="1"/>
  <c r="B77" i="9" s="1"/>
  <c r="B78" i="9" s="1"/>
  <c r="G70" i="9"/>
  <c r="G69" i="9"/>
  <c r="G68" i="9"/>
  <c r="G67" i="9"/>
  <c r="G66" i="9"/>
  <c r="G65" i="9"/>
  <c r="G64" i="9"/>
  <c r="B64" i="9"/>
  <c r="B65" i="9" s="1"/>
  <c r="B66" i="9" s="1"/>
  <c r="B67" i="9" s="1"/>
  <c r="B68" i="9" s="1"/>
  <c r="B69" i="9" s="1"/>
  <c r="B70" i="9" s="1"/>
  <c r="G53" i="9"/>
  <c r="G52" i="9"/>
  <c r="G51" i="9"/>
  <c r="B51" i="9"/>
  <c r="B52" i="9" s="1"/>
  <c r="B53" i="9" s="1"/>
  <c r="G48" i="9"/>
  <c r="G47" i="9"/>
  <c r="G91" i="9"/>
  <c r="B46" i="9"/>
  <c r="B47" i="9" s="1"/>
  <c r="B48" i="9" s="1"/>
  <c r="G42" i="9"/>
  <c r="G41" i="9"/>
  <c r="G40" i="9"/>
  <c r="B39" i="9"/>
  <c r="B40" i="9" s="1"/>
  <c r="B41" i="9" s="1"/>
  <c r="B42" i="9" s="1"/>
  <c r="B43" i="9" s="1"/>
  <c r="G36" i="9"/>
  <c r="G37" i="9" s="1"/>
  <c r="B36" i="9"/>
  <c r="G32" i="9"/>
  <c r="G29" i="9"/>
  <c r="B27" i="9"/>
  <c r="B28" i="9" s="1"/>
  <c r="B29" i="9" s="1"/>
  <c r="B30" i="9" s="1"/>
  <c r="B31" i="9" s="1"/>
  <c r="B32" i="9" s="1"/>
  <c r="B33" i="9" s="1"/>
  <c r="G23" i="9"/>
  <c r="G43" i="9"/>
  <c r="G22" i="9"/>
  <c r="G21" i="9"/>
  <c r="B18" i="9"/>
  <c r="B19" i="9" s="1"/>
  <c r="B20" i="9" s="1"/>
  <c r="B21" i="9" s="1"/>
  <c r="B22" i="9" s="1"/>
  <c r="B23" i="9" s="1"/>
  <c r="B24" i="9" s="1"/>
  <c r="I106" i="9" l="1"/>
  <c r="I108" i="9" s="1"/>
  <c r="K107" i="9"/>
  <c r="K106" i="9"/>
  <c r="K105" i="9"/>
  <c r="K57" i="9"/>
  <c r="K56" i="9"/>
  <c r="K58" i="9"/>
  <c r="G54" i="9"/>
  <c r="G85" i="9"/>
  <c r="G103" i="9"/>
  <c r="G97" i="9"/>
  <c r="G90" i="9"/>
  <c r="G92" i="9" s="1"/>
  <c r="G77" i="9"/>
  <c r="G71" i="9"/>
  <c r="G28" i="9"/>
  <c r="G30" i="9"/>
  <c r="G44" i="9"/>
  <c r="G46" i="9"/>
  <c r="G49" i="9" s="1"/>
  <c r="G31" i="9"/>
  <c r="G24" i="9"/>
  <c r="G25" i="9" s="1"/>
  <c r="K108" i="9" l="1"/>
  <c r="K59" i="9"/>
  <c r="G27" i="9"/>
  <c r="G33" i="9"/>
  <c r="G74" i="9"/>
  <c r="G73" i="9"/>
  <c r="G75" i="9"/>
  <c r="K109" i="9" l="1"/>
  <c r="G34" i="9"/>
  <c r="G55" i="9" s="1"/>
  <c r="G78" i="9"/>
  <c r="G79" i="9" s="1"/>
  <c r="G104" i="9" s="1"/>
  <c r="G107" i="9" l="1"/>
  <c r="G106" i="9"/>
  <c r="G105" i="9"/>
  <c r="G58" i="9"/>
  <c r="G57" i="9"/>
  <c r="G56" i="9"/>
  <c r="G108" i="9" l="1"/>
  <c r="G59" i="9"/>
  <c r="G109" i="9" l="1"/>
  <c r="I34" i="9"/>
  <c r="I55" i="9" s="1"/>
  <c r="I56" i="9" l="1"/>
  <c r="I57" i="9"/>
  <c r="I58" i="9"/>
  <c r="I59" i="9" l="1"/>
  <c r="I10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4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Symbol"/>
            <family val="1"/>
            <charset val="2"/>
          </rPr>
          <t>·40</t>
        </r>
        <r>
          <rPr>
            <sz val="9"/>
            <color indexed="81"/>
            <rFont val="Tahoma"/>
            <family val="2"/>
          </rPr>
          <t xml:space="preserve">x0.85x1.0 </t>
        </r>
        <r>
          <rPr>
            <sz val="9"/>
            <color indexed="81"/>
            <rFont val="Calibri"/>
            <family val="2"/>
          </rPr>
          <t>Ø</t>
        </r>
        <r>
          <rPr>
            <sz val="9"/>
            <color indexed="81"/>
            <rFont val="Tahoma"/>
            <family val="2"/>
          </rPr>
          <t>1/2"c. 1.2 m l=0.85 m</t>
        </r>
        <r>
          <rPr>
            <sz val="9"/>
            <color indexed="81"/>
            <rFont val="Calibri"/>
            <family val="2"/>
          </rPr>
          <t>→</t>
        </r>
        <r>
          <rPr>
            <sz val="9"/>
            <color indexed="81"/>
            <rFont val="Tahoma"/>
            <family val="2"/>
          </rPr>
          <t xml:space="preserve">varilla de anclaje a lo largo de la junta longitudinal
</t>
        </r>
        <r>
          <rPr>
            <sz val="9"/>
            <color indexed="81"/>
            <rFont val="Symbol"/>
            <family val="1"/>
            <charset val="2"/>
          </rPr>
          <t>·</t>
        </r>
        <r>
          <rPr>
            <sz val="9"/>
            <color indexed="81"/>
            <rFont val="Tahoma"/>
            <family val="2"/>
          </rPr>
          <t xml:space="preserve">0.35x224x4.0 </t>
        </r>
        <r>
          <rPr>
            <sz val="9"/>
            <color indexed="81"/>
            <rFont val="Calibri"/>
            <family val="2"/>
          </rPr>
          <t>Ø</t>
        </r>
        <r>
          <rPr>
            <sz val="9"/>
            <color indexed="81"/>
            <rFont val="Tahoma"/>
            <family val="2"/>
          </rPr>
          <t xml:space="preserve"> 1" c. 0.3 m en las juntas transversales cada 5.0m l=0.35m
-Refuerzo minimo para una peatonal en colocar malla XX-0.50 en toda la superficie, la malla pesa 0.82 kg/m2 más 5% adicional por traslapos.  </t>
        </r>
      </text>
    </comment>
  </commentList>
</comments>
</file>

<file path=xl/sharedStrings.xml><?xml version="1.0" encoding="utf-8"?>
<sst xmlns="http://schemas.openxmlformats.org/spreadsheetml/2006/main" count="397" uniqueCount="158">
  <si>
    <t>ITEM</t>
  </si>
  <si>
    <t xml:space="preserve">DESCRIPCION </t>
  </si>
  <si>
    <t xml:space="preserve">UNIDAD </t>
  </si>
  <si>
    <t xml:space="preserve">CANTIDAD </t>
  </si>
  <si>
    <t>VALOR UNITARIO</t>
  </si>
  <si>
    <t>VALOR PARCIAL</t>
  </si>
  <si>
    <t>PRELIMINARES</t>
  </si>
  <si>
    <t>Localizacion y replanteo</t>
  </si>
  <si>
    <t>ML</t>
  </si>
  <si>
    <t>Pasacalles informativo</t>
  </si>
  <si>
    <t>UND</t>
  </si>
  <si>
    <t>Señalizacion preventiva</t>
  </si>
  <si>
    <t>Aislamiento con lona Verde (Incluye madera rolliza)</t>
  </si>
  <si>
    <t xml:space="preserve">Control permanente de aguas </t>
  </si>
  <si>
    <t>GB</t>
  </si>
  <si>
    <t>Corte y rotura de Pavimento rígido</t>
  </si>
  <si>
    <t>M2</t>
  </si>
  <si>
    <t>Rotura de andenes en concreto e=10 cm (incluye retiro de escombros)</t>
  </si>
  <si>
    <t>SUBTOTAL</t>
  </si>
  <si>
    <t>MOVIMIENTO DE TIERRAS</t>
  </si>
  <si>
    <t>Excavaciones en material comun y/o conglomerado sin entibados Prof=0-2,50 mts</t>
  </si>
  <si>
    <t>M3</t>
  </si>
  <si>
    <t>Excavacion  en tierra con entibados de 0.0 a 2.50 metros de profundidad</t>
  </si>
  <si>
    <t>Relleno en material común compactado</t>
  </si>
  <si>
    <t>Suministro y compactacion  de rellenos en material seleccionado</t>
  </si>
  <si>
    <t>Suministro y compactacion  de relleno granular cimentacion de  tuberia</t>
  </si>
  <si>
    <t>Suministro, conformacion y compactacion de base granular. E=0,20 mt</t>
  </si>
  <si>
    <t>Acarreo y retiro de sobrantes</t>
  </si>
  <si>
    <t>INSTALACION DE TUBERIAS</t>
  </si>
  <si>
    <t>ESTRUCTURAS</t>
  </si>
  <si>
    <t>Reparación de andén e=0.10m en concreto</t>
  </si>
  <si>
    <t>Reparación de verjas y antejardin</t>
  </si>
  <si>
    <t>Suministro y colocación de acero de refuerzo fy= 4200 kg/cm2</t>
  </si>
  <si>
    <t>KG</t>
  </si>
  <si>
    <t>Construcción pozo de inspección h&lt;=2.5 m (incluye anillo en concreto, acero y mamposteria)</t>
  </si>
  <si>
    <t>Suministro y colocación de pavimento rígido</t>
  </si>
  <si>
    <t>VARIOS</t>
  </si>
  <si>
    <t>Conexiones domiciliarias longitud menor o igual a 6.00 mts (caja de inspección completa y conexiones en 6")</t>
  </si>
  <si>
    <t>Reparación de pozos de inspección</t>
  </si>
  <si>
    <t>Limpieza General</t>
  </si>
  <si>
    <t>ENSAYOS DE LABORATORIO</t>
  </si>
  <si>
    <t>Proctor modificado</t>
  </si>
  <si>
    <t>Densidad de Campo</t>
  </si>
  <si>
    <t>Ensayo compresión cilindro de concreto</t>
  </si>
  <si>
    <t>TOTAL COSTO DIRECTO</t>
  </si>
  <si>
    <t>ADMINISTRACION</t>
  </si>
  <si>
    <t>IMPREVISTOS</t>
  </si>
  <si>
    <t>UTILIDAD</t>
  </si>
  <si>
    <t>UNIDAD</t>
  </si>
  <si>
    <t>CANTIDAD</t>
  </si>
  <si>
    <t>VALOR TOTAL</t>
  </si>
  <si>
    <t>Replanteo y medición de obra</t>
  </si>
  <si>
    <t>Demolición de andenes</t>
  </si>
  <si>
    <t>Señalización Preventiva</t>
  </si>
  <si>
    <t>Demolición y reconstrucción de caja válvula</t>
  </si>
  <si>
    <t xml:space="preserve"> </t>
  </si>
  <si>
    <t>Excavación en tierra y/o conglomerado</t>
  </si>
  <si>
    <t>Conformación y compactación de relleno con material común</t>
  </si>
  <si>
    <t>Suministro, conformación y compactación de relleno con material seleccionado</t>
  </si>
  <si>
    <t>Suministro, conformación y compactación de base granular.</t>
  </si>
  <si>
    <t>Suministro e Instalación de arena para cimentación de tubería PVC  para acueducto</t>
  </si>
  <si>
    <t>Retiro y acarreo de material sobrante (incluye botadero)</t>
  </si>
  <si>
    <t>CONCRETOS Y ESTRUCTURAS</t>
  </si>
  <si>
    <t>Concreto simple f`c=2500 PSI para atraques</t>
  </si>
  <si>
    <t>Suministro y colocación concreto 3000 psi</t>
  </si>
  <si>
    <t>Reparación de andén e= 0.10 m en concreto (incluye dilataciones)</t>
  </si>
  <si>
    <t>Caja válvula en mampostería, placa en concreto y tapa registro en HF</t>
  </si>
  <si>
    <t>SUMINISTRO E INSTALACION DE TUBERIAS Y ACCESORIOS.</t>
  </si>
  <si>
    <t>Suministro e Instalación accesorio Tee H.D. D=3" JH</t>
  </si>
  <si>
    <t>Suministro e instalación de válvula  D=3" en HD JH</t>
  </si>
  <si>
    <t xml:space="preserve">Suministro e instalación unión rapida D=3" </t>
  </si>
  <si>
    <t>Suministro e instalación tubería PVC U.M. RDE 21 D=3"</t>
  </si>
  <si>
    <t>Conexión domiciliaria acueducto PVC RDE 9 T.P. D=1/2" L&lt;=6,00 mts (incluye caja domiciliaria y tapa emblema pds)</t>
  </si>
  <si>
    <t>OBRAS VARIAS</t>
  </si>
  <si>
    <t>Prueba Hidráulica (Incluye accesorios)</t>
  </si>
  <si>
    <t>TOTAL COSTOS DIRECTOS</t>
  </si>
  <si>
    <t>PRESUPUESTO OBRAS DE ALCANTARILLADO</t>
  </si>
  <si>
    <t>PRESUPUESTO OBRAS DE ACUEDUCTO</t>
  </si>
  <si>
    <t xml:space="preserve">SUB TOTAL 1                                  </t>
  </si>
  <si>
    <t>SUB TOTAL 2</t>
  </si>
  <si>
    <t>COSTO TOTAL OBRAS DE ALCANTARILLADO Y ACUEDUCTO= 1 + 2</t>
  </si>
  <si>
    <t>Demarcación vial</t>
  </si>
  <si>
    <t>Levantamiento y digitalizacion de planos</t>
  </si>
  <si>
    <t>Sum. e instalación de tuberia PVC D=315 mm tipo Fort</t>
  </si>
  <si>
    <t>Rotura de pavimento en concreto (incluye corte y retiro)</t>
  </si>
  <si>
    <t xml:space="preserve">SUBTOTAL </t>
  </si>
  <si>
    <t>DESCRIPCION</t>
  </si>
  <si>
    <t>CONDICIONES ORIGINALES</t>
  </si>
  <si>
    <t>CONTRATO 092-2019</t>
  </si>
  <si>
    <t>LONGITUD</t>
  </si>
  <si>
    <t>ANCHO</t>
  </si>
  <si>
    <t xml:space="preserve">PROFUNDIDAD </t>
  </si>
  <si>
    <t xml:space="preserve">TOTAL </t>
  </si>
  <si>
    <t xml:space="preserve">Transversal </t>
  </si>
  <si>
    <t>0,00 - 1,70 m</t>
  </si>
  <si>
    <t>1,70 - 15,70 m</t>
  </si>
  <si>
    <t xml:space="preserve">15,70 - 22,00 m </t>
  </si>
  <si>
    <t>22,00  -28,80 m</t>
  </si>
  <si>
    <t>MEMORIAS DE CALCULO ALCANTARILLADO</t>
  </si>
  <si>
    <t>28,80 - 49,50 m</t>
  </si>
  <si>
    <t>49,50 - 53,90 m</t>
  </si>
  <si>
    <t xml:space="preserve"> 53,90 - 76,4 m </t>
  </si>
  <si>
    <t>cajas de inspeccion carrera 5 # 16-98,96,92</t>
  </si>
  <si>
    <t>cajas de inspeccion carrera 5 # 16-86</t>
  </si>
  <si>
    <t>cajas de inspeccion carrera 5 # 16-85</t>
  </si>
  <si>
    <t>cajas de inspeccion  carrera 5 # 16-33,74,80</t>
  </si>
  <si>
    <t>domiciliarias carrera 5 # 16-92</t>
  </si>
  <si>
    <t>domiciliarias carrera 5 # 16-86</t>
  </si>
  <si>
    <t>domiciliarias carrera 5 # 16-98</t>
  </si>
  <si>
    <t>domiciliarias carrera 5 # 16-96</t>
  </si>
  <si>
    <t>domiciliarias carrera 5 # 16-85</t>
  </si>
  <si>
    <t>domiciliarias carrera 5 # 16-80</t>
  </si>
  <si>
    <t>domiciliarias carrera 5 # 16-33</t>
  </si>
  <si>
    <t>Sum. e instalación de tuberia PVC D=315 mm tipo Fort 0- 34,25</t>
  </si>
  <si>
    <t>domiciliarias carrera 5 # 16-74</t>
  </si>
  <si>
    <t>Excavacion tuberia de 12"      0 - 5,2 m</t>
  </si>
  <si>
    <t>Excavacion tuberia de 12"      5,2  - 11,01 m</t>
  </si>
  <si>
    <t>Excavacion tuberia de 12"      11,01 - 16,82 m</t>
  </si>
  <si>
    <t>Excavacion tuberia de 12"      16,82 - 22,63 m</t>
  </si>
  <si>
    <t>Excavacion tuberia de 12"      22,63 - 28,44 m</t>
  </si>
  <si>
    <t>Excavacion tuberia de 12"      28,44 - 34,25 m</t>
  </si>
  <si>
    <t>6"</t>
  </si>
  <si>
    <t xml:space="preserve">menos D/2 tuberia 12 pulgadas </t>
  </si>
  <si>
    <t xml:space="preserve"> tuberia de 12"      0 - 5,2 m</t>
  </si>
  <si>
    <t xml:space="preserve"> tuberia de 12"      5,2  - 11,01 m</t>
  </si>
  <si>
    <t xml:space="preserve"> tuberia de 12"      11,01 - 16,82 m</t>
  </si>
  <si>
    <t xml:space="preserve"> tuberia de 12"      16,82 - 22,63 m</t>
  </si>
  <si>
    <t xml:space="preserve"> tuberia de 12"      22,63 - 28,44 m</t>
  </si>
  <si>
    <t xml:space="preserve"> tuberia de 12"      28,44 - 34,25 m</t>
  </si>
  <si>
    <t xml:space="preserve">menos D/2 tuberia 6 pulgadas </t>
  </si>
  <si>
    <t>28,80 - 40,06 m</t>
  </si>
  <si>
    <t>Longitudinal 0-42 m</t>
  </si>
  <si>
    <t>carrera 5 # 16-98, 96,92,86, 80,74,33,85,38,48</t>
  </si>
  <si>
    <t>cajas de inspeccion  carrera 5 # 16-38,48</t>
  </si>
  <si>
    <t>domiciliarias carrera 5 # 16-38</t>
  </si>
  <si>
    <t>domiciliarias carrera 5 # 16-48</t>
  </si>
  <si>
    <t>Excavacion tuberia de 12"      34,25 - 40,06 m</t>
  </si>
  <si>
    <t xml:space="preserve"> tuberia de 12"      34,25 - 40,06 m</t>
  </si>
  <si>
    <t>tuberia de 12"      5,2  - 11,01 m</t>
  </si>
  <si>
    <t>Tuberia 3"</t>
  </si>
  <si>
    <t>MEMORIAS DE CALCULO ACUEDUCTO</t>
  </si>
  <si>
    <t>Domiciliarias 16-89,16-85, 16-33</t>
  </si>
  <si>
    <t>Domiciliarias 16-92,16-86,16-80.</t>
  </si>
  <si>
    <t>Domiciliarias 16-98,16-96</t>
  </si>
  <si>
    <t>Domiciliarias 16-74</t>
  </si>
  <si>
    <t>Domiciliarias 16-74 piso 2</t>
  </si>
  <si>
    <t xml:space="preserve">menos vol. tubo </t>
  </si>
  <si>
    <t xml:space="preserve">ACTA PARCIAL </t>
  </si>
  <si>
    <t xml:space="preserve">VALOR CONTRATO PRINCIPAL: </t>
  </si>
  <si>
    <t>% AVANCE</t>
  </si>
  <si>
    <t>VALOR CONTRATO ADICIONAL:</t>
  </si>
  <si>
    <t>VALOR TOTAL DEL CONTRATO:</t>
  </si>
  <si>
    <t>CANTIDADES EJECUTADAS ACTA PARCIAL No. 1</t>
  </si>
  <si>
    <t>CANTIDADES EJECUTADAS ACUMULADAS</t>
  </si>
  <si>
    <t>ANEXO No. 1  AL ACTA DE RECIBO PARCIAL No. 1  DEL CONTRATO DE OBRA No.</t>
  </si>
  <si>
    <t>Código:  GPI-MC.CDR01-103.F26</t>
  </si>
  <si>
    <t>Versión: 0.0</t>
  </si>
  <si>
    <t xml:space="preserve">OBJETO: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</si>
</sst>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General_)"/>
    <numFmt numFmtId="168" formatCode="0.0"/>
    <numFmt numFmtId="169" formatCode="_-* #,##0\ _€_-;\-* #,##0\ _€_-;_-* &quot;-&quot;\ _€_-;_-@_-"/>
    <numFmt numFmtId="170" formatCode="_(* #,##0.0_);_(* \(#,##0.0\);_(* &quot;-&quot;??_);_(@_)"/>
    <numFmt numFmtId="171" formatCode="#,##0.0"/>
    <numFmt numFmtId="172" formatCode="[$$-240A]\ #,##0.00"/>
    <numFmt numFmtId="173" formatCode="[$$-240A]\ #,##0"/>
    <numFmt numFmtId="174" formatCode="0.000"/>
    <numFmt numFmtId="175" formatCode="0.0000"/>
    <numFmt numFmtId="176" formatCode="0.00000"/>
    <numFmt numFmtId="177" formatCode="&quot;$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Symbol"/>
      <family val="1"/>
      <charset val="2"/>
    </font>
    <font>
      <sz val="9"/>
      <color indexed="81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0">
    <xf numFmtId="0" fontId="0" fillId="0" borderId="0" xfId="0"/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0" xfId="0" applyFont="1" applyFill="1"/>
    <xf numFmtId="172" fontId="4" fillId="0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64" fontId="4" fillId="0" borderId="5" xfId="13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0" fontId="4" fillId="0" borderId="4" xfId="12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66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167" fontId="2" fillId="0" borderId="5" xfId="0" applyNumberFormat="1" applyFont="1" applyFill="1" applyBorder="1" applyAlignment="1">
      <alignment horizontal="left" vertical="center" wrapText="1"/>
    </xf>
    <xf numFmtId="167" fontId="5" fillId="0" borderId="5" xfId="0" applyNumberFormat="1" applyFont="1" applyFill="1" applyBorder="1" applyAlignment="1">
      <alignment horizontal="left" vertical="center" wrapText="1"/>
    </xf>
    <xf numFmtId="168" fontId="4" fillId="0" borderId="5" xfId="0" applyNumberFormat="1" applyFont="1" applyFill="1" applyBorder="1" applyAlignment="1">
      <alignment horizontal="right" vertical="center"/>
    </xf>
    <xf numFmtId="172" fontId="3" fillId="0" borderId="6" xfId="0" applyNumberFormat="1" applyFont="1" applyFill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9" fontId="2" fillId="0" borderId="5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right" vertical="center"/>
    </xf>
    <xf numFmtId="172" fontId="3" fillId="0" borderId="14" xfId="0" applyNumberFormat="1" applyFont="1" applyFill="1" applyBorder="1" applyAlignment="1">
      <alignment horizontal="right" vertical="center"/>
    </xf>
    <xf numFmtId="164" fontId="3" fillId="0" borderId="5" xfId="13" applyFont="1" applyFill="1" applyBorder="1" applyAlignment="1">
      <alignment horizontal="right" vertical="center"/>
    </xf>
    <xf numFmtId="10" fontId="2" fillId="0" borderId="5" xfId="0" applyNumberFormat="1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>
      <alignment horizontal="right" vertical="center" wrapText="1"/>
    </xf>
    <xf numFmtId="2" fontId="4" fillId="0" borderId="5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173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10" fontId="2" fillId="0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170" fontId="4" fillId="0" borderId="18" xfId="12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170" fontId="4" fillId="0" borderId="5" xfId="1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 wrapText="1"/>
    </xf>
    <xf numFmtId="170" fontId="4" fillId="0" borderId="19" xfId="12" applyNumberFormat="1" applyFont="1" applyFill="1" applyBorder="1" applyAlignment="1">
      <alignment horizontal="right" vertical="center"/>
    </xf>
    <xf numFmtId="170" fontId="4" fillId="0" borderId="21" xfId="12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67" fontId="2" fillId="0" borderId="19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67" fontId="5" fillId="0" borderId="11" xfId="0" applyNumberFormat="1" applyFont="1" applyFill="1" applyBorder="1" applyAlignment="1">
      <alignment horizontal="left" vertical="center" wrapText="1"/>
    </xf>
    <xf numFmtId="167" fontId="2" fillId="0" borderId="2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170" fontId="4" fillId="0" borderId="16" xfId="12" applyNumberFormat="1" applyFont="1" applyFill="1" applyBorder="1" applyAlignment="1">
      <alignment horizontal="right" vertical="center"/>
    </xf>
    <xf numFmtId="170" fontId="4" fillId="0" borderId="35" xfId="12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66" fontId="4" fillId="0" borderId="7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66" fontId="3" fillId="0" borderId="7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170" fontId="4" fillId="0" borderId="38" xfId="1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167" fontId="2" fillId="0" borderId="39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/>
    <xf numFmtId="0" fontId="0" fillId="0" borderId="22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175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/>
    <xf numFmtId="0" fontId="0" fillId="0" borderId="19" xfId="0" applyFill="1" applyBorder="1"/>
    <xf numFmtId="0" fontId="0" fillId="0" borderId="5" xfId="0" applyFill="1" applyBorder="1"/>
    <xf numFmtId="2" fontId="0" fillId="0" borderId="2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168" fontId="2" fillId="0" borderId="38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left" vertical="center"/>
    </xf>
    <xf numFmtId="164" fontId="5" fillId="0" borderId="41" xfId="0" applyNumberFormat="1" applyFont="1" applyFill="1" applyBorder="1" applyAlignment="1">
      <alignment horizontal="right" vertical="center" wrapText="1"/>
    </xf>
    <xf numFmtId="172" fontId="4" fillId="0" borderId="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9" fontId="2" fillId="0" borderId="10" xfId="0" applyNumberFormat="1" applyFont="1" applyFill="1" applyBorder="1" applyAlignment="1">
      <alignment horizontal="right" vertical="center"/>
    </xf>
    <xf numFmtId="172" fontId="3" fillId="0" borderId="7" xfId="0" applyNumberFormat="1" applyFont="1" applyFill="1" applyBorder="1" applyAlignment="1">
      <alignment horizontal="right" vertical="center"/>
    </xf>
    <xf numFmtId="164" fontId="2" fillId="0" borderId="33" xfId="0" applyNumberFormat="1" applyFont="1" applyFill="1" applyBorder="1" applyAlignment="1">
      <alignment horizontal="right" vertical="center" wrapText="1"/>
    </xf>
    <xf numFmtId="2" fontId="4" fillId="0" borderId="5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center" vertical="center"/>
    </xf>
    <xf numFmtId="174" fontId="0" fillId="0" borderId="5" xfId="0" applyNumberFormat="1" applyFill="1" applyBorder="1"/>
    <xf numFmtId="2" fontId="4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right" vertical="center"/>
    </xf>
    <xf numFmtId="164" fontId="4" fillId="0" borderId="11" xfId="13" applyFont="1" applyFill="1" applyBorder="1" applyAlignment="1">
      <alignment horizontal="right" vertical="center"/>
    </xf>
    <xf numFmtId="172" fontId="4" fillId="0" borderId="11" xfId="0" applyNumberFormat="1" applyFont="1" applyFill="1" applyBorder="1" applyAlignment="1">
      <alignment horizontal="right" vertical="center"/>
    </xf>
    <xf numFmtId="2" fontId="4" fillId="0" borderId="18" xfId="0" applyNumberFormat="1" applyFont="1" applyFill="1" applyBorder="1" applyAlignment="1">
      <alignment horizontal="right" vertical="center"/>
    </xf>
    <xf numFmtId="2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68" fontId="4" fillId="0" borderId="22" xfId="0" applyNumberFormat="1" applyFont="1" applyFill="1" applyBorder="1" applyAlignment="1">
      <alignment horizontal="right" vertical="center"/>
    </xf>
    <xf numFmtId="164" fontId="4" fillId="0" borderId="22" xfId="13" applyFont="1" applyFill="1" applyBorder="1" applyAlignment="1">
      <alignment horizontal="right" vertical="center"/>
    </xf>
    <xf numFmtId="172" fontId="4" fillId="0" borderId="2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/>
    </xf>
    <xf numFmtId="172" fontId="4" fillId="0" borderId="33" xfId="0" applyNumberFormat="1" applyFont="1" applyFill="1" applyBorder="1" applyAlignment="1">
      <alignment horizontal="right" vertical="center"/>
    </xf>
    <xf numFmtId="172" fontId="3" fillId="0" borderId="24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/>
    <xf numFmtId="177" fontId="4" fillId="0" borderId="0" xfId="0" applyNumberFormat="1" applyFont="1" applyFill="1"/>
    <xf numFmtId="177" fontId="3" fillId="0" borderId="3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 wrapText="1"/>
    </xf>
    <xf numFmtId="177" fontId="2" fillId="0" borderId="6" xfId="0" applyNumberFormat="1" applyFont="1" applyFill="1" applyBorder="1" applyAlignment="1">
      <alignment horizontal="right" vertical="center" wrapText="1"/>
    </xf>
    <xf numFmtId="177" fontId="2" fillId="0" borderId="8" xfId="0" applyNumberFormat="1" applyFont="1" applyFill="1" applyBorder="1" applyAlignment="1">
      <alignment horizontal="right" vertical="center" wrapText="1"/>
    </xf>
    <xf numFmtId="177" fontId="5" fillId="0" borderId="37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22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64" fontId="3" fillId="0" borderId="19" xfId="13" applyFont="1" applyFill="1" applyBorder="1" applyAlignment="1">
      <alignment horizontal="right" vertical="center"/>
    </xf>
    <xf numFmtId="172" fontId="3" fillId="0" borderId="19" xfId="0" applyNumberFormat="1" applyFont="1" applyFill="1" applyBorder="1" applyAlignment="1">
      <alignment horizontal="right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74" fontId="0" fillId="0" borderId="11" xfId="0" applyNumberFormat="1" applyFill="1" applyBorder="1"/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2" fontId="4" fillId="0" borderId="35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168" fontId="4" fillId="0" borderId="36" xfId="0" applyNumberFormat="1" applyFont="1" applyFill="1" applyBorder="1" applyAlignment="1">
      <alignment horizontal="right" vertical="center"/>
    </xf>
    <xf numFmtId="164" fontId="4" fillId="0" borderId="36" xfId="13" applyFont="1" applyFill="1" applyBorder="1" applyAlignment="1">
      <alignment horizontal="right" vertical="center"/>
    </xf>
    <xf numFmtId="172" fontId="4" fillId="0" borderId="36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right" vertical="center"/>
    </xf>
    <xf numFmtId="2" fontId="4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168" fontId="4" fillId="0" borderId="43" xfId="0" applyNumberFormat="1" applyFont="1" applyFill="1" applyBorder="1" applyAlignment="1">
      <alignment horizontal="right" vertical="center"/>
    </xf>
    <xf numFmtId="164" fontId="4" fillId="0" borderId="43" xfId="13" applyFont="1" applyFill="1" applyBorder="1" applyAlignment="1">
      <alignment horizontal="right" vertical="center"/>
    </xf>
    <xf numFmtId="172" fontId="4" fillId="0" borderId="43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68" fontId="4" fillId="0" borderId="19" xfId="0" applyNumberFormat="1" applyFont="1" applyFill="1" applyBorder="1" applyAlignment="1">
      <alignment horizontal="right" vertical="center"/>
    </xf>
    <xf numFmtId="164" fontId="4" fillId="0" borderId="19" xfId="13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4" fontId="0" fillId="0" borderId="6" xfId="0" applyNumberFormat="1" applyFill="1" applyBorder="1"/>
    <xf numFmtId="176" fontId="0" fillId="0" borderId="10" xfId="0" applyNumberFormat="1" applyFill="1" applyBorder="1" applyAlignment="1">
      <alignment horizontal="center" vertical="center"/>
    </xf>
    <xf numFmtId="174" fontId="0" fillId="0" borderId="8" xfId="0" applyNumberFormat="1" applyFill="1" applyBorder="1"/>
    <xf numFmtId="2" fontId="4" fillId="0" borderId="19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right" vertical="center"/>
    </xf>
    <xf numFmtId="174" fontId="0" fillId="0" borderId="3" xfId="0" applyNumberFormat="1" applyFill="1" applyBorder="1"/>
    <xf numFmtId="174" fontId="0" fillId="0" borderId="0" xfId="0" applyNumberFormat="1" applyFill="1"/>
    <xf numFmtId="174" fontId="0" fillId="0" borderId="17" xfId="0" applyNumberForma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/>
    </xf>
    <xf numFmtId="174" fontId="0" fillId="0" borderId="20" xfId="0" applyNumberFormat="1" applyFill="1" applyBorder="1"/>
    <xf numFmtId="174" fontId="0" fillId="0" borderId="25" xfId="0" applyNumberFormat="1" applyFill="1" applyBorder="1"/>
    <xf numFmtId="174" fontId="0" fillId="0" borderId="17" xfId="0" applyNumberFormat="1" applyFill="1" applyBorder="1"/>
    <xf numFmtId="174" fontId="0" fillId="0" borderId="14" xfId="0" applyNumberFormat="1" applyFill="1" applyBorder="1"/>
    <xf numFmtId="174" fontId="0" fillId="0" borderId="37" xfId="0" applyNumberFormat="1" applyFill="1" applyBorder="1"/>
    <xf numFmtId="174" fontId="0" fillId="0" borderId="19" xfId="0" applyNumberFormat="1" applyFill="1" applyBorder="1"/>
    <xf numFmtId="174" fontId="0" fillId="0" borderId="6" xfId="0" applyNumberFormat="1" applyFill="1" applyBorder="1" applyAlignment="1">
      <alignment horizontal="center" vertical="center"/>
    </xf>
    <xf numFmtId="174" fontId="11" fillId="0" borderId="44" xfId="0" applyNumberFormat="1" applyFont="1" applyFill="1" applyBorder="1" applyAlignment="1">
      <alignment horizontal="center" vertical="center"/>
    </xf>
    <xf numFmtId="174" fontId="3" fillId="0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171" fontId="4" fillId="0" borderId="5" xfId="0" applyNumberFormat="1" applyFont="1" applyFill="1" applyBorder="1" applyAlignment="1">
      <alignment horizontal="center" vertical="center"/>
    </xf>
    <xf numFmtId="39" fontId="4" fillId="0" borderId="5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177" fontId="4" fillId="3" borderId="6" xfId="0" applyNumberFormat="1" applyFont="1" applyFill="1" applyBorder="1"/>
    <xf numFmtId="2" fontId="4" fillId="3" borderId="4" xfId="0" applyNumberFormat="1" applyFont="1" applyFill="1" applyBorder="1" applyAlignment="1">
      <alignment horizontal="center" vertical="center"/>
    </xf>
    <xf numFmtId="177" fontId="3" fillId="3" borderId="6" xfId="0" applyNumberFormat="1" applyFont="1" applyFill="1" applyBorder="1" applyAlignment="1">
      <alignment horizontal="right" vertical="center"/>
    </xf>
    <xf numFmtId="177" fontId="5" fillId="3" borderId="6" xfId="0" applyNumberFormat="1" applyFont="1" applyFill="1" applyBorder="1" applyAlignment="1">
      <alignment horizontal="right" vertical="center" wrapText="1"/>
    </xf>
    <xf numFmtId="177" fontId="2" fillId="3" borderId="6" xfId="0" applyNumberFormat="1" applyFont="1" applyFill="1" applyBorder="1" applyAlignment="1">
      <alignment horizontal="righ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177" fontId="2" fillId="3" borderId="8" xfId="0" applyNumberFormat="1" applyFont="1" applyFill="1" applyBorder="1" applyAlignment="1">
      <alignment horizontal="right" vertical="center" wrapText="1"/>
    </xf>
    <xf numFmtId="2" fontId="4" fillId="3" borderId="38" xfId="0" applyNumberFormat="1" applyFont="1" applyFill="1" applyBorder="1" applyAlignment="1">
      <alignment horizontal="center" vertical="center"/>
    </xf>
    <xf numFmtId="177" fontId="5" fillId="3" borderId="37" xfId="0" applyNumberFormat="1" applyFont="1" applyFill="1" applyBorder="1" applyAlignment="1">
      <alignment horizontal="right" vertical="center" wrapText="1"/>
    </xf>
    <xf numFmtId="172" fontId="3" fillId="3" borderId="6" xfId="0" applyNumberFormat="1" applyFont="1" applyFill="1" applyBorder="1" applyAlignment="1">
      <alignment horizontal="right" vertical="center"/>
    </xf>
    <xf numFmtId="172" fontId="4" fillId="3" borderId="6" xfId="0" applyNumberFormat="1" applyFont="1" applyFill="1" applyBorder="1" applyAlignment="1">
      <alignment horizontal="right" vertical="center"/>
    </xf>
    <xf numFmtId="2" fontId="4" fillId="3" borderId="16" xfId="0" applyNumberFormat="1" applyFont="1" applyFill="1" applyBorder="1" applyAlignment="1">
      <alignment horizontal="center" vertical="center"/>
    </xf>
    <xf numFmtId="172" fontId="4" fillId="3" borderId="17" xfId="0" applyNumberFormat="1" applyFont="1" applyFill="1" applyBorder="1" applyAlignment="1">
      <alignment horizontal="right" vertical="center"/>
    </xf>
    <xf numFmtId="2" fontId="4" fillId="3" borderId="21" xfId="0" applyNumberFormat="1" applyFont="1" applyFill="1" applyBorder="1" applyAlignment="1">
      <alignment horizontal="center" vertical="center"/>
    </xf>
    <xf numFmtId="172" fontId="3" fillId="3" borderId="14" xfId="0" applyNumberFormat="1" applyFont="1" applyFill="1" applyBorder="1" applyAlignment="1">
      <alignment horizontal="right" vertical="center"/>
    </xf>
    <xf numFmtId="2" fontId="4" fillId="3" borderId="23" xfId="0" applyNumberFormat="1" applyFont="1" applyFill="1" applyBorder="1" applyAlignment="1">
      <alignment horizontal="center" vertical="center"/>
    </xf>
    <xf numFmtId="177" fontId="3" fillId="3" borderId="34" xfId="0" applyNumberFormat="1" applyFont="1" applyFill="1" applyBorder="1"/>
    <xf numFmtId="177" fontId="3" fillId="0" borderId="34" xfId="0" applyNumberFormat="1" applyFont="1" applyFill="1" applyBorder="1"/>
    <xf numFmtId="2" fontId="4" fillId="0" borderId="0" xfId="0" applyNumberFormat="1" applyFont="1" applyFill="1"/>
    <xf numFmtId="177" fontId="4" fillId="3" borderId="6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3" fillId="3" borderId="6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0" fontId="17" fillId="0" borderId="30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0" fontId="12" fillId="0" borderId="45" xfId="10" applyNumberFormat="1" applyFont="1" applyFill="1" applyBorder="1" applyAlignment="1">
      <alignment horizontal="center" vertical="center"/>
    </xf>
    <xf numFmtId="10" fontId="12" fillId="0" borderId="47" xfId="10" applyNumberFormat="1" applyFont="1" applyFill="1" applyBorder="1" applyAlignment="1">
      <alignment horizontal="center" vertical="center"/>
    </xf>
    <xf numFmtId="10" fontId="12" fillId="0" borderId="46" xfId="1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0" fontId="15" fillId="0" borderId="30" xfId="15" applyNumberFormat="1" applyFont="1" applyFill="1" applyBorder="1" applyAlignment="1">
      <alignment horizontal="center" vertical="center"/>
    </xf>
    <xf numFmtId="10" fontId="15" fillId="0" borderId="32" xfId="15" applyNumberFormat="1" applyFont="1" applyFill="1" applyBorder="1" applyAlignment="1">
      <alignment horizontal="center" vertical="center"/>
    </xf>
    <xf numFmtId="10" fontId="15" fillId="0" borderId="26" xfId="15" applyNumberFormat="1" applyFont="1" applyFill="1" applyBorder="1" applyAlignment="1">
      <alignment horizontal="center" vertical="center"/>
    </xf>
    <xf numFmtId="10" fontId="15" fillId="0" borderId="29" xfId="15" applyNumberFormat="1" applyFont="1" applyFill="1" applyBorder="1" applyAlignment="1">
      <alignment horizontal="center" vertical="center"/>
    </xf>
    <xf numFmtId="10" fontId="15" fillId="0" borderId="23" xfId="15" applyNumberFormat="1" applyFont="1" applyFill="1" applyBorder="1" applyAlignment="1">
      <alignment horizontal="center" vertical="center"/>
    </xf>
    <xf numFmtId="10" fontId="15" fillId="0" borderId="34" xfId="15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wrapText="1"/>
    </xf>
    <xf numFmtId="0" fontId="17" fillId="3" borderId="3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172" fontId="16" fillId="3" borderId="12" xfId="0" applyNumberFormat="1" applyFont="1" applyFill="1" applyBorder="1" applyAlignment="1">
      <alignment horizontal="center"/>
    </xf>
    <xf numFmtId="172" fontId="16" fillId="3" borderId="27" xfId="0" applyNumberFormat="1" applyFont="1" applyFill="1" applyBorder="1" applyAlignment="1">
      <alignment horizontal="center"/>
    </xf>
    <xf numFmtId="172" fontId="16" fillId="3" borderId="12" xfId="0" applyNumberFormat="1" applyFont="1" applyFill="1" applyBorder="1" applyAlignment="1">
      <alignment horizontal="center" vertical="center"/>
    </xf>
    <xf numFmtId="172" fontId="16" fillId="3" borderId="27" xfId="0" applyNumberFormat="1" applyFont="1" applyFill="1" applyBorder="1" applyAlignment="1">
      <alignment horizontal="center" vertical="center"/>
    </xf>
    <xf numFmtId="172" fontId="15" fillId="3" borderId="0" xfId="0" applyNumberFormat="1" applyFont="1" applyFill="1" applyBorder="1" applyAlignment="1">
      <alignment horizontal="center" vertical="center"/>
    </xf>
    <xf numFmtId="172" fontId="15" fillId="3" borderId="29" xfId="0" applyNumberFormat="1" applyFont="1" applyFill="1" applyBorder="1" applyAlignment="1">
      <alignment horizontal="center" vertical="center"/>
    </xf>
    <xf numFmtId="172" fontId="15" fillId="3" borderId="24" xfId="0" applyNumberFormat="1" applyFont="1" applyFill="1" applyBorder="1" applyAlignment="1">
      <alignment horizontal="center" vertical="center"/>
    </xf>
    <xf numFmtId="172" fontId="15" fillId="3" borderId="34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14" fillId="3" borderId="23" xfId="0" applyFont="1" applyFill="1" applyBorder="1" applyAlignment="1">
      <alignment horizontal="left" vertical="center"/>
    </xf>
    <xf numFmtId="0" fontId="14" fillId="3" borderId="3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</cellXfs>
  <cellStyles count="16">
    <cellStyle name="Millares" xfId="12" builtinId="3"/>
    <cellStyle name="Millares 2" xfId="1" xr:uid="{00000000-0005-0000-0000-000001000000}"/>
    <cellStyle name="Millares 3" xfId="2" xr:uid="{00000000-0005-0000-0000-000002000000}"/>
    <cellStyle name="Millares 4" xfId="3" xr:uid="{00000000-0005-0000-0000-000003000000}"/>
    <cellStyle name="Millares 5" xfId="14" xr:uid="{00000000-0005-0000-0000-000004000000}"/>
    <cellStyle name="Moneda" xfId="13" builtinId="4"/>
    <cellStyle name="Moneda 2" xfId="4" xr:uid="{00000000-0005-0000-0000-000006000000}"/>
    <cellStyle name="Moneda 2 2" xfId="5" xr:uid="{00000000-0005-0000-0000-000007000000}"/>
    <cellStyle name="Moneda 3" xfId="6" xr:uid="{00000000-0005-0000-0000-000008000000}"/>
    <cellStyle name="Normal" xfId="0" builtinId="0"/>
    <cellStyle name="Normal 2" xfId="7" xr:uid="{00000000-0005-0000-0000-00000A000000}"/>
    <cellStyle name="Normal 3" xfId="8" xr:uid="{00000000-0005-0000-0000-00000B000000}"/>
    <cellStyle name="Normal 3 2" xfId="9" xr:uid="{00000000-0005-0000-0000-00000C000000}"/>
    <cellStyle name="Porcentaje" xfId="15" builtinId="5"/>
    <cellStyle name="Porcentaje 2" xfId="10" xr:uid="{00000000-0005-0000-0000-00000E000000}"/>
    <cellStyle name="Porcentual 2" xfId="11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739589</xdr:colOff>
      <xdr:row>6</xdr:row>
      <xdr:rowOff>33618</xdr:rowOff>
    </xdr:from>
    <xdr:to>
      <xdr:col>2</xdr:col>
      <xdr:colOff>2187389</xdr:colOff>
      <xdr:row>11</xdr:row>
      <xdr:rowOff>165288</xdr:rowOff>
    </xdr:to>
    <xdr:pic>
      <xdr:nvPicPr>
        <xdr:cNvPr id="3" name="Imagen 2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824" y="1030942"/>
          <a:ext cx="14478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5:L109"/>
  <sheetViews>
    <sheetView zoomScale="85" zoomScaleNormal="85" workbookViewId="0">
      <selection activeCell="C30" sqref="C30"/>
    </sheetView>
  </sheetViews>
  <sheetFormatPr baseColWidth="10" defaultRowHeight="12.75" x14ac:dyDescent="0.2"/>
  <cols>
    <col min="1" max="1" width="11.42578125" style="4"/>
    <col min="2" max="2" width="6.7109375" style="4" customWidth="1"/>
    <col min="3" max="3" width="47.85546875" style="8" customWidth="1"/>
    <col min="4" max="4" width="10.85546875" style="9" customWidth="1"/>
    <col min="5" max="5" width="16.5703125" style="186" customWidth="1"/>
    <col min="6" max="6" width="17" style="4" bestFit="1" customWidth="1"/>
    <col min="7" max="7" width="23" style="4" bestFit="1" customWidth="1"/>
    <col min="8" max="8" width="11" style="186" bestFit="1" customWidth="1"/>
    <col min="9" max="9" width="20.85546875" style="123" bestFit="1" customWidth="1"/>
    <col min="10" max="10" width="11" style="186" bestFit="1" customWidth="1"/>
    <col min="11" max="11" width="20.85546875" style="4" bestFit="1" customWidth="1"/>
    <col min="12" max="16384" width="11.42578125" style="4"/>
  </cols>
  <sheetData>
    <row r="5" spans="2:11" ht="13.5" thickBot="1" x14ac:dyDescent="0.25"/>
    <row r="6" spans="2:11" ht="15.75" customHeight="1" thickBot="1" x14ac:dyDescent="0.3">
      <c r="B6" s="257" t="s">
        <v>154</v>
      </c>
      <c r="C6" s="258"/>
      <c r="D6" s="258"/>
      <c r="E6" s="258"/>
      <c r="F6" s="258"/>
      <c r="G6" s="258"/>
      <c r="H6" s="258"/>
      <c r="I6" s="258"/>
      <c r="J6" s="258"/>
      <c r="K6" s="259"/>
    </row>
    <row r="7" spans="2:11" ht="15" customHeight="1" x14ac:dyDescent="0.2">
      <c r="B7" s="235"/>
      <c r="C7" s="236"/>
      <c r="D7" s="237"/>
      <c r="E7" s="281" t="s">
        <v>147</v>
      </c>
      <c r="F7" s="282"/>
      <c r="G7" s="269">
        <v>1</v>
      </c>
      <c r="H7" s="270"/>
      <c r="I7" s="260" t="s">
        <v>155</v>
      </c>
      <c r="J7" s="261"/>
      <c r="K7" s="262"/>
    </row>
    <row r="8" spans="2:11" ht="15.75" customHeight="1" thickBot="1" x14ac:dyDescent="0.25">
      <c r="B8" s="238"/>
      <c r="C8" s="239"/>
      <c r="D8" s="240"/>
      <c r="E8" s="283"/>
      <c r="F8" s="284"/>
      <c r="G8" s="271"/>
      <c r="H8" s="272"/>
      <c r="I8" s="263" t="s">
        <v>156</v>
      </c>
      <c r="J8" s="264"/>
      <c r="K8" s="265"/>
    </row>
    <row r="9" spans="2:11" ht="15.75" customHeight="1" thickBot="1" x14ac:dyDescent="0.25">
      <c r="B9" s="238"/>
      <c r="C9" s="239"/>
      <c r="D9" s="240"/>
      <c r="E9" s="285" t="s">
        <v>148</v>
      </c>
      <c r="F9" s="286"/>
      <c r="G9" s="273"/>
      <c r="H9" s="274"/>
      <c r="I9" s="229" t="s">
        <v>149</v>
      </c>
      <c r="J9" s="244"/>
      <c r="K9" s="245"/>
    </row>
    <row r="10" spans="2:11" ht="13.5" customHeight="1" thickBot="1" x14ac:dyDescent="0.25">
      <c r="B10" s="238"/>
      <c r="C10" s="239"/>
      <c r="D10" s="240"/>
      <c r="E10" s="287" t="s">
        <v>150</v>
      </c>
      <c r="F10" s="288"/>
      <c r="G10" s="275"/>
      <c r="H10" s="276"/>
      <c r="I10" s="230"/>
      <c r="J10" s="246"/>
      <c r="K10" s="247"/>
    </row>
    <row r="11" spans="2:11" ht="15.75" customHeight="1" x14ac:dyDescent="0.2">
      <c r="B11" s="238"/>
      <c r="C11" s="239"/>
      <c r="D11" s="240"/>
      <c r="E11" s="289" t="s">
        <v>151</v>
      </c>
      <c r="F11" s="290"/>
      <c r="G11" s="277"/>
      <c r="H11" s="278"/>
      <c r="I11" s="230"/>
      <c r="J11" s="246"/>
      <c r="K11" s="247"/>
    </row>
    <row r="12" spans="2:11" ht="15.75" customHeight="1" thickBot="1" x14ac:dyDescent="0.25">
      <c r="B12" s="241"/>
      <c r="C12" s="242"/>
      <c r="D12" s="243"/>
      <c r="E12" s="291"/>
      <c r="F12" s="292"/>
      <c r="G12" s="279"/>
      <c r="H12" s="280"/>
      <c r="I12" s="231"/>
      <c r="J12" s="248"/>
      <c r="K12" s="249"/>
    </row>
    <row r="13" spans="2:11" ht="38.25" customHeight="1" thickBot="1" x14ac:dyDescent="0.25">
      <c r="B13" s="232" t="s">
        <v>157</v>
      </c>
      <c r="C13" s="233"/>
      <c r="D13" s="233"/>
      <c r="E13" s="233"/>
      <c r="F13" s="233"/>
      <c r="G13" s="233"/>
      <c r="H13" s="233"/>
      <c r="I13" s="233"/>
      <c r="J13" s="233"/>
      <c r="K13" s="234"/>
    </row>
    <row r="14" spans="2:11" ht="21" customHeight="1" thickBot="1" x14ac:dyDescent="0.25">
      <c r="B14" s="226" t="s">
        <v>76</v>
      </c>
      <c r="C14" s="227"/>
      <c r="D14" s="227"/>
      <c r="E14" s="227"/>
      <c r="F14" s="227"/>
      <c r="G14" s="227"/>
      <c r="H14" s="227"/>
      <c r="I14" s="227"/>
      <c r="J14" s="227"/>
      <c r="K14" s="228"/>
    </row>
    <row r="15" spans="2:11" ht="29.25" customHeight="1" thickBot="1" x14ac:dyDescent="0.3">
      <c r="B15" s="266" t="s">
        <v>88</v>
      </c>
      <c r="C15" s="268"/>
      <c r="D15" s="266" t="s">
        <v>87</v>
      </c>
      <c r="E15" s="267"/>
      <c r="F15" s="267"/>
      <c r="G15" s="267"/>
      <c r="H15" s="252" t="s">
        <v>152</v>
      </c>
      <c r="I15" s="253"/>
      <c r="J15" s="224" t="s">
        <v>153</v>
      </c>
      <c r="K15" s="225"/>
    </row>
    <row r="16" spans="2:11" x14ac:dyDescent="0.2">
      <c r="B16" s="60" t="s">
        <v>0</v>
      </c>
      <c r="C16" s="39" t="s">
        <v>1</v>
      </c>
      <c r="D16" s="92" t="s">
        <v>2</v>
      </c>
      <c r="E16" s="92" t="s">
        <v>3</v>
      </c>
      <c r="F16" s="93" t="s">
        <v>4</v>
      </c>
      <c r="G16" s="94" t="s">
        <v>5</v>
      </c>
      <c r="H16" s="198" t="s">
        <v>3</v>
      </c>
      <c r="I16" s="199" t="s">
        <v>5</v>
      </c>
      <c r="J16" s="185" t="s">
        <v>3</v>
      </c>
      <c r="K16" s="124" t="s">
        <v>5</v>
      </c>
    </row>
    <row r="17" spans="2:12" x14ac:dyDescent="0.2">
      <c r="B17" s="10">
        <v>1</v>
      </c>
      <c r="C17" s="3" t="s">
        <v>6</v>
      </c>
      <c r="D17" s="2"/>
      <c r="E17" s="2"/>
      <c r="F17" s="11"/>
      <c r="G17" s="65"/>
      <c r="H17" s="200"/>
      <c r="I17" s="201"/>
      <c r="J17" s="187"/>
      <c r="K17" s="122"/>
    </row>
    <row r="18" spans="2:12" x14ac:dyDescent="0.2">
      <c r="B18" s="12">
        <f>B17+0.1</f>
        <v>1.1000000000000001</v>
      </c>
      <c r="C18" s="13" t="s">
        <v>7</v>
      </c>
      <c r="D18" s="1" t="s">
        <v>16</v>
      </c>
      <c r="E18" s="194"/>
      <c r="F18" s="14"/>
      <c r="G18" s="66">
        <f>ROUND(E18*F18,0)</f>
        <v>0</v>
      </c>
      <c r="H18" s="202">
        <f>+'memorias de calculo'!I5</f>
        <v>0</v>
      </c>
      <c r="I18" s="220">
        <f>ROUND(+H18*F18,)</f>
        <v>0</v>
      </c>
      <c r="J18" s="188">
        <f>+H18</f>
        <v>0</v>
      </c>
      <c r="K18" s="221">
        <f>+H18*F18</f>
        <v>0</v>
      </c>
      <c r="L18" s="219"/>
    </row>
    <row r="19" spans="2:12" x14ac:dyDescent="0.2">
      <c r="B19" s="12">
        <f t="shared" ref="B19:B24" si="0">B18+0.1</f>
        <v>1.2000000000000002</v>
      </c>
      <c r="C19" s="13" t="s">
        <v>9</v>
      </c>
      <c r="D19" s="1" t="s">
        <v>10</v>
      </c>
      <c r="E19" s="194"/>
      <c r="F19" s="14"/>
      <c r="G19" s="66">
        <f t="shared" ref="G19:G24" si="1">ROUND(E19*F19,0)</f>
        <v>0</v>
      </c>
      <c r="H19" s="202">
        <f>+'memorias de calculo'!I11</f>
        <v>0</v>
      </c>
      <c r="I19" s="220">
        <f t="shared" ref="I19:I24" si="2">ROUND(+H19*F19,)</f>
        <v>0</v>
      </c>
      <c r="J19" s="188">
        <f t="shared" ref="J19:J53" si="3">+H19</f>
        <v>0</v>
      </c>
      <c r="K19" s="221">
        <f t="shared" ref="K19:K22" si="4">+H19*F19</f>
        <v>0</v>
      </c>
    </row>
    <row r="20" spans="2:12" x14ac:dyDescent="0.2">
      <c r="B20" s="12">
        <f t="shared" si="0"/>
        <v>1.3000000000000003</v>
      </c>
      <c r="C20" s="13" t="s">
        <v>11</v>
      </c>
      <c r="D20" s="1" t="s">
        <v>8</v>
      </c>
      <c r="E20" s="194"/>
      <c r="F20" s="14"/>
      <c r="G20" s="66">
        <f t="shared" si="1"/>
        <v>0</v>
      </c>
      <c r="H20" s="202">
        <f>+'memorias de calculo'!I12</f>
        <v>0</v>
      </c>
      <c r="I20" s="220">
        <f t="shared" si="2"/>
        <v>0</v>
      </c>
      <c r="J20" s="188">
        <f t="shared" si="3"/>
        <v>0</v>
      </c>
      <c r="K20" s="221">
        <f t="shared" si="4"/>
        <v>0</v>
      </c>
    </row>
    <row r="21" spans="2:12" x14ac:dyDescent="0.2">
      <c r="B21" s="12">
        <f t="shared" si="0"/>
        <v>1.4000000000000004</v>
      </c>
      <c r="C21" s="13" t="s">
        <v>12</v>
      </c>
      <c r="D21" s="1" t="s">
        <v>8</v>
      </c>
      <c r="E21" s="194"/>
      <c r="F21" s="7"/>
      <c r="G21" s="67">
        <f t="shared" si="1"/>
        <v>0</v>
      </c>
      <c r="H21" s="202">
        <f>+'memorias de calculo'!I15</f>
        <v>0</v>
      </c>
      <c r="I21" s="220">
        <f t="shared" si="2"/>
        <v>0</v>
      </c>
      <c r="J21" s="188">
        <f t="shared" si="3"/>
        <v>0</v>
      </c>
      <c r="K21" s="221">
        <f t="shared" si="4"/>
        <v>0</v>
      </c>
    </row>
    <row r="22" spans="2:12" x14ac:dyDescent="0.2">
      <c r="B22" s="12">
        <f t="shared" si="0"/>
        <v>1.5000000000000004</v>
      </c>
      <c r="C22" s="13" t="s">
        <v>13</v>
      </c>
      <c r="D22" s="1" t="s">
        <v>14</v>
      </c>
      <c r="E22" s="194"/>
      <c r="F22" s="14"/>
      <c r="G22" s="66">
        <f>ROUND(E22*F22,0)</f>
        <v>0</v>
      </c>
      <c r="H22" s="202">
        <v>0</v>
      </c>
      <c r="I22" s="220">
        <f t="shared" si="2"/>
        <v>0</v>
      </c>
      <c r="J22" s="188">
        <f t="shared" si="3"/>
        <v>0</v>
      </c>
      <c r="K22" s="221">
        <f t="shared" si="4"/>
        <v>0</v>
      </c>
    </row>
    <row r="23" spans="2:12" x14ac:dyDescent="0.2">
      <c r="B23" s="12">
        <f t="shared" si="0"/>
        <v>1.6000000000000005</v>
      </c>
      <c r="C23" s="13" t="s">
        <v>15</v>
      </c>
      <c r="D23" s="1" t="s">
        <v>16</v>
      </c>
      <c r="E23" s="194"/>
      <c r="F23" s="14"/>
      <c r="G23" s="66">
        <f t="shared" si="1"/>
        <v>0</v>
      </c>
      <c r="H23" s="202">
        <f>+'memorias de calculo'!I19</f>
        <v>0</v>
      </c>
      <c r="I23" s="220">
        <f t="shared" si="2"/>
        <v>0</v>
      </c>
      <c r="J23" s="188">
        <f t="shared" si="3"/>
        <v>0</v>
      </c>
      <c r="K23" s="221">
        <f>ROUND(+H23*F23,)</f>
        <v>0</v>
      </c>
    </row>
    <row r="24" spans="2:12" ht="25.5" x14ac:dyDescent="0.2">
      <c r="B24" s="12">
        <f t="shared" si="0"/>
        <v>1.7000000000000006</v>
      </c>
      <c r="C24" s="15" t="s">
        <v>17</v>
      </c>
      <c r="D24" s="1" t="s">
        <v>16</v>
      </c>
      <c r="E24" s="194"/>
      <c r="F24" s="14"/>
      <c r="G24" s="66">
        <f t="shared" si="1"/>
        <v>0</v>
      </c>
      <c r="H24" s="202">
        <f>+'memorias de calculo'!I27</f>
        <v>0</v>
      </c>
      <c r="I24" s="220">
        <f t="shared" si="2"/>
        <v>0</v>
      </c>
      <c r="J24" s="188">
        <f t="shared" si="3"/>
        <v>0</v>
      </c>
      <c r="K24" s="221">
        <f>ROUND(+H24*F24,)</f>
        <v>0</v>
      </c>
    </row>
    <row r="25" spans="2:12" x14ac:dyDescent="0.2">
      <c r="B25" s="12"/>
      <c r="C25" s="15"/>
      <c r="D25" s="1"/>
      <c r="E25" s="195"/>
      <c r="F25" s="16" t="s">
        <v>18</v>
      </c>
      <c r="G25" s="68">
        <f>SUM(G18:G24)</f>
        <v>0</v>
      </c>
      <c r="H25" s="202"/>
      <c r="I25" s="203">
        <f>SUM(I18:I24)</f>
        <v>0</v>
      </c>
      <c r="J25" s="188"/>
      <c r="K25" s="125">
        <f>SUM(K18:K24)</f>
        <v>0</v>
      </c>
    </row>
    <row r="26" spans="2:12" x14ac:dyDescent="0.2">
      <c r="B26" s="17">
        <v>2</v>
      </c>
      <c r="C26" s="18" t="s">
        <v>19</v>
      </c>
      <c r="D26" s="1"/>
      <c r="E26" s="195"/>
      <c r="F26" s="14"/>
      <c r="G26" s="66"/>
      <c r="H26" s="202"/>
      <c r="I26" s="220"/>
      <c r="J26" s="188"/>
      <c r="K26" s="221"/>
    </row>
    <row r="27" spans="2:12" ht="25.5" x14ac:dyDescent="0.2">
      <c r="B27" s="12">
        <f>B26+0.1</f>
        <v>2.1</v>
      </c>
      <c r="C27" s="15" t="s">
        <v>20</v>
      </c>
      <c r="D27" s="1" t="s">
        <v>21</v>
      </c>
      <c r="E27" s="196"/>
      <c r="F27" s="14"/>
      <c r="G27" s="66">
        <f t="shared" ref="G27:G33" si="5">ROUND(E27*F27,0)</f>
        <v>0</v>
      </c>
      <c r="H27" s="202">
        <f>+'memorias de calculo'!I30</f>
        <v>0</v>
      </c>
      <c r="I27" s="220">
        <f>ROUND(+H27*F27,)</f>
        <v>0</v>
      </c>
      <c r="J27" s="188">
        <f t="shared" si="3"/>
        <v>0</v>
      </c>
      <c r="K27" s="221">
        <f>ROUND(+H27*F27,)</f>
        <v>0</v>
      </c>
    </row>
    <row r="28" spans="2:12" ht="25.5" x14ac:dyDescent="0.2">
      <c r="B28" s="12">
        <f t="shared" ref="B28:B33" si="6">B27+0.1</f>
        <v>2.2000000000000002</v>
      </c>
      <c r="C28" s="15" t="s">
        <v>22</v>
      </c>
      <c r="D28" s="1" t="s">
        <v>21</v>
      </c>
      <c r="E28" s="196"/>
      <c r="F28" s="14"/>
      <c r="G28" s="66">
        <f t="shared" si="5"/>
        <v>0</v>
      </c>
      <c r="H28" s="202">
        <f>+'memorias de calculo'!I53</f>
        <v>0</v>
      </c>
      <c r="I28" s="220">
        <f t="shared" ref="I28:I33" si="7">ROUND(+H28*F28,)</f>
        <v>0</v>
      </c>
      <c r="J28" s="188">
        <f t="shared" si="3"/>
        <v>0</v>
      </c>
      <c r="K28" s="221">
        <f t="shared" ref="K28:K33" si="8">ROUND(+H28*F28,)</f>
        <v>0</v>
      </c>
    </row>
    <row r="29" spans="2:12" x14ac:dyDescent="0.2">
      <c r="B29" s="12">
        <f>B28+0.1</f>
        <v>2.3000000000000003</v>
      </c>
      <c r="C29" s="15" t="s">
        <v>23</v>
      </c>
      <c r="D29" s="1" t="s">
        <v>21</v>
      </c>
      <c r="E29" s="196"/>
      <c r="F29" s="14"/>
      <c r="G29" s="66">
        <f t="shared" si="5"/>
        <v>0</v>
      </c>
      <c r="H29" s="202">
        <f>+'memorias de calculo'!I61</f>
        <v>0</v>
      </c>
      <c r="I29" s="220">
        <f t="shared" si="7"/>
        <v>0</v>
      </c>
      <c r="J29" s="188">
        <f t="shared" si="3"/>
        <v>0</v>
      </c>
      <c r="K29" s="221">
        <f t="shared" si="8"/>
        <v>0</v>
      </c>
    </row>
    <row r="30" spans="2:12" ht="25.5" x14ac:dyDescent="0.2">
      <c r="B30" s="12">
        <f t="shared" si="6"/>
        <v>2.4000000000000004</v>
      </c>
      <c r="C30" s="15" t="s">
        <v>24</v>
      </c>
      <c r="D30" s="1" t="s">
        <v>21</v>
      </c>
      <c r="E30" s="196"/>
      <c r="F30" s="14"/>
      <c r="G30" s="66">
        <f t="shared" si="5"/>
        <v>0</v>
      </c>
      <c r="H30" s="202">
        <f>+'memorias de calculo'!I66</f>
        <v>0</v>
      </c>
      <c r="I30" s="220">
        <f t="shared" si="7"/>
        <v>0</v>
      </c>
      <c r="J30" s="188">
        <f t="shared" si="3"/>
        <v>0</v>
      </c>
      <c r="K30" s="221">
        <f t="shared" si="8"/>
        <v>0</v>
      </c>
    </row>
    <row r="31" spans="2:12" ht="25.5" x14ac:dyDescent="0.2">
      <c r="B31" s="12">
        <f t="shared" si="6"/>
        <v>2.5000000000000004</v>
      </c>
      <c r="C31" s="15" t="s">
        <v>25</v>
      </c>
      <c r="D31" s="1" t="s">
        <v>21</v>
      </c>
      <c r="E31" s="196"/>
      <c r="F31" s="14"/>
      <c r="G31" s="66">
        <f t="shared" si="5"/>
        <v>0</v>
      </c>
      <c r="H31" s="202">
        <f>+'memorias de calculo'!I87</f>
        <v>0</v>
      </c>
      <c r="I31" s="220">
        <f t="shared" si="7"/>
        <v>0</v>
      </c>
      <c r="J31" s="188">
        <f t="shared" si="3"/>
        <v>0</v>
      </c>
      <c r="K31" s="221">
        <f t="shared" si="8"/>
        <v>0</v>
      </c>
    </row>
    <row r="32" spans="2:12" ht="25.5" x14ac:dyDescent="0.2">
      <c r="B32" s="12">
        <f t="shared" si="6"/>
        <v>2.6000000000000005</v>
      </c>
      <c r="C32" s="19" t="s">
        <v>26</v>
      </c>
      <c r="D32" s="1" t="s">
        <v>21</v>
      </c>
      <c r="E32" s="196"/>
      <c r="F32" s="14"/>
      <c r="G32" s="66">
        <f t="shared" si="5"/>
        <v>0</v>
      </c>
      <c r="H32" s="202">
        <v>0</v>
      </c>
      <c r="I32" s="220">
        <f t="shared" si="7"/>
        <v>0</v>
      </c>
      <c r="J32" s="188">
        <f t="shared" si="3"/>
        <v>0</v>
      </c>
      <c r="K32" s="221">
        <f t="shared" si="8"/>
        <v>0</v>
      </c>
    </row>
    <row r="33" spans="2:11" x14ac:dyDescent="0.2">
      <c r="B33" s="12">
        <f t="shared" si="6"/>
        <v>2.7000000000000006</v>
      </c>
      <c r="C33" s="13" t="s">
        <v>27</v>
      </c>
      <c r="D33" s="1" t="s">
        <v>21</v>
      </c>
      <c r="E33" s="196"/>
      <c r="F33" s="14"/>
      <c r="G33" s="66">
        <f t="shared" si="5"/>
        <v>0</v>
      </c>
      <c r="H33" s="202">
        <f>+'memorias de calculo'!I108</f>
        <v>0</v>
      </c>
      <c r="I33" s="220">
        <f t="shared" si="7"/>
        <v>0</v>
      </c>
      <c r="J33" s="188">
        <f t="shared" si="3"/>
        <v>0</v>
      </c>
      <c r="K33" s="221">
        <f t="shared" si="8"/>
        <v>0</v>
      </c>
    </row>
    <row r="34" spans="2:11" x14ac:dyDescent="0.2">
      <c r="B34" s="12"/>
      <c r="C34" s="19"/>
      <c r="D34" s="1"/>
      <c r="E34" s="195"/>
      <c r="F34" s="16" t="s">
        <v>18</v>
      </c>
      <c r="G34" s="68">
        <f>SUM(G27:G33)</f>
        <v>0</v>
      </c>
      <c r="H34" s="202"/>
      <c r="I34" s="203">
        <f>SUM(I27:I33)</f>
        <v>0</v>
      </c>
      <c r="J34" s="188"/>
      <c r="K34" s="125">
        <f>SUM(K27:K33)</f>
        <v>0</v>
      </c>
    </row>
    <row r="35" spans="2:11" x14ac:dyDescent="0.2">
      <c r="B35" s="17">
        <v>3</v>
      </c>
      <c r="C35" s="18" t="s">
        <v>28</v>
      </c>
      <c r="D35" s="1"/>
      <c r="E35" s="195"/>
      <c r="F35" s="14"/>
      <c r="G35" s="66"/>
      <c r="H35" s="202"/>
      <c r="I35" s="220"/>
      <c r="J35" s="188"/>
      <c r="K35" s="221"/>
    </row>
    <row r="36" spans="2:11" x14ac:dyDescent="0.2">
      <c r="B36" s="12">
        <f>B35+0.1</f>
        <v>3.1</v>
      </c>
      <c r="C36" s="15" t="s">
        <v>83</v>
      </c>
      <c r="D36" s="1" t="s">
        <v>8</v>
      </c>
      <c r="E36" s="195"/>
      <c r="F36" s="14"/>
      <c r="G36" s="66">
        <f>ROUND(E36*F36,0)</f>
        <v>0</v>
      </c>
      <c r="H36" s="202">
        <f>+'memorias de calculo'!I132</f>
        <v>0</v>
      </c>
      <c r="I36" s="220">
        <f t="shared" ref="I36" si="9">+H36*F36</f>
        <v>0</v>
      </c>
      <c r="J36" s="188">
        <f t="shared" si="3"/>
        <v>0</v>
      </c>
      <c r="K36" s="221">
        <f t="shared" ref="K36" si="10">+H36*F36</f>
        <v>0</v>
      </c>
    </row>
    <row r="37" spans="2:11" x14ac:dyDescent="0.2">
      <c r="B37" s="12"/>
      <c r="C37" s="15"/>
      <c r="D37" s="1"/>
      <c r="E37" s="195"/>
      <c r="F37" s="16" t="s">
        <v>18</v>
      </c>
      <c r="G37" s="68">
        <f>SUM(G36)</f>
        <v>0</v>
      </c>
      <c r="H37" s="202"/>
      <c r="I37" s="203">
        <f>SUM(I36)</f>
        <v>0</v>
      </c>
      <c r="J37" s="188"/>
      <c r="K37" s="125">
        <f>SUM(K36)</f>
        <v>0</v>
      </c>
    </row>
    <row r="38" spans="2:11" x14ac:dyDescent="0.2">
      <c r="B38" s="17">
        <v>4</v>
      </c>
      <c r="C38" s="18" t="s">
        <v>29</v>
      </c>
      <c r="D38" s="1"/>
      <c r="E38" s="195"/>
      <c r="F38" s="14"/>
      <c r="G38" s="66"/>
      <c r="H38" s="202"/>
      <c r="I38" s="220"/>
      <c r="J38" s="188"/>
      <c r="K38" s="221"/>
    </row>
    <row r="39" spans="2:11" x14ac:dyDescent="0.2">
      <c r="B39" s="12">
        <f>B38+0.1</f>
        <v>4.0999999999999996</v>
      </c>
      <c r="C39" s="13" t="s">
        <v>30</v>
      </c>
      <c r="D39" s="1" t="s">
        <v>16</v>
      </c>
      <c r="E39" s="195"/>
      <c r="F39" s="14"/>
      <c r="G39" s="66">
        <f>ROUND(E39*F39,0)</f>
        <v>0</v>
      </c>
      <c r="H39" s="202">
        <f>+'memorias de calculo'!I135</f>
        <v>0</v>
      </c>
      <c r="I39" s="220">
        <f>ROUND(+H39*F39,)</f>
        <v>0</v>
      </c>
      <c r="J39" s="188">
        <f t="shared" si="3"/>
        <v>0</v>
      </c>
      <c r="K39" s="221">
        <f>ROUND(+H39*F39,)</f>
        <v>0</v>
      </c>
    </row>
    <row r="40" spans="2:11" x14ac:dyDescent="0.2">
      <c r="B40" s="12">
        <f t="shared" ref="B40:B43" si="11">B39+0.1</f>
        <v>4.1999999999999993</v>
      </c>
      <c r="C40" s="13" t="s">
        <v>31</v>
      </c>
      <c r="D40" s="1" t="s">
        <v>10</v>
      </c>
      <c r="E40" s="195"/>
      <c r="F40" s="14"/>
      <c r="G40" s="66">
        <f>ROUND(E40*F40,0)</f>
        <v>0</v>
      </c>
      <c r="H40" s="202">
        <v>0</v>
      </c>
      <c r="I40" s="220">
        <f t="shared" ref="I40:I43" si="12">ROUND(+H40*F40,)</f>
        <v>0</v>
      </c>
      <c r="J40" s="188">
        <f t="shared" si="3"/>
        <v>0</v>
      </c>
      <c r="K40" s="221">
        <f t="shared" ref="K40:K43" si="13">ROUND(+H40*F40,)</f>
        <v>0</v>
      </c>
    </row>
    <row r="41" spans="2:11" ht="25.5" x14ac:dyDescent="0.2">
      <c r="B41" s="12">
        <f t="shared" si="11"/>
        <v>4.2999999999999989</v>
      </c>
      <c r="C41" s="19" t="s">
        <v>32</v>
      </c>
      <c r="D41" s="1" t="s">
        <v>33</v>
      </c>
      <c r="E41" s="195"/>
      <c r="F41" s="14"/>
      <c r="G41" s="66">
        <f>ROUND(E41*F41,0)</f>
        <v>0</v>
      </c>
      <c r="H41" s="202">
        <v>0</v>
      </c>
      <c r="I41" s="220">
        <f t="shared" si="12"/>
        <v>0</v>
      </c>
      <c r="J41" s="188">
        <f t="shared" si="3"/>
        <v>0</v>
      </c>
      <c r="K41" s="221">
        <f t="shared" si="13"/>
        <v>0</v>
      </c>
    </row>
    <row r="42" spans="2:11" ht="25.5" x14ac:dyDescent="0.2">
      <c r="B42" s="12">
        <f t="shared" si="11"/>
        <v>4.3999999999999986</v>
      </c>
      <c r="C42" s="19" t="s">
        <v>34</v>
      </c>
      <c r="D42" s="1" t="s">
        <v>10</v>
      </c>
      <c r="E42" s="195"/>
      <c r="F42" s="14"/>
      <c r="G42" s="66">
        <f>ROUND(E42*F42,0)</f>
        <v>0</v>
      </c>
      <c r="H42" s="202">
        <v>0</v>
      </c>
      <c r="I42" s="220">
        <f t="shared" si="12"/>
        <v>0</v>
      </c>
      <c r="J42" s="188">
        <f t="shared" si="3"/>
        <v>0</v>
      </c>
      <c r="K42" s="221">
        <f t="shared" si="13"/>
        <v>0</v>
      </c>
    </row>
    <row r="43" spans="2:11" x14ac:dyDescent="0.2">
      <c r="B43" s="12">
        <f t="shared" si="11"/>
        <v>4.4999999999999982</v>
      </c>
      <c r="C43" s="19" t="s">
        <v>35</v>
      </c>
      <c r="D43" s="1" t="s">
        <v>21</v>
      </c>
      <c r="E43" s="195"/>
      <c r="F43" s="14"/>
      <c r="G43" s="66">
        <f>ROUND(E43*F43,0)</f>
        <v>0</v>
      </c>
      <c r="H43" s="202">
        <v>0</v>
      </c>
      <c r="I43" s="220">
        <f t="shared" si="12"/>
        <v>0</v>
      </c>
      <c r="J43" s="188">
        <f t="shared" si="3"/>
        <v>0</v>
      </c>
      <c r="K43" s="221">
        <f t="shared" si="13"/>
        <v>0</v>
      </c>
    </row>
    <row r="44" spans="2:11" x14ac:dyDescent="0.2">
      <c r="B44" s="12"/>
      <c r="C44" s="19"/>
      <c r="D44" s="1"/>
      <c r="E44" s="195"/>
      <c r="F44" s="16" t="s">
        <v>18</v>
      </c>
      <c r="G44" s="68">
        <f>SUM(G39:G43)</f>
        <v>0</v>
      </c>
      <c r="H44" s="202"/>
      <c r="I44" s="203">
        <f>SUM(I39:I43)</f>
        <v>0</v>
      </c>
      <c r="J44" s="188"/>
      <c r="K44" s="125">
        <f>SUM(K39:K43)</f>
        <v>0</v>
      </c>
    </row>
    <row r="45" spans="2:11" x14ac:dyDescent="0.2">
      <c r="B45" s="17">
        <v>5</v>
      </c>
      <c r="C45" s="20" t="s">
        <v>36</v>
      </c>
      <c r="D45" s="1"/>
      <c r="E45" s="195"/>
      <c r="F45" s="14"/>
      <c r="G45" s="66"/>
      <c r="H45" s="202"/>
      <c r="I45" s="220"/>
      <c r="J45" s="188"/>
      <c r="K45" s="221"/>
    </row>
    <row r="46" spans="2:11" ht="25.5" x14ac:dyDescent="0.2">
      <c r="B46" s="12">
        <f>B45+0.1</f>
        <v>5.0999999999999996</v>
      </c>
      <c r="C46" s="19" t="s">
        <v>37</v>
      </c>
      <c r="D46" s="1" t="s">
        <v>10</v>
      </c>
      <c r="E46" s="195"/>
      <c r="F46" s="14"/>
      <c r="G46" s="66">
        <f>ROUND(E46*F46,0)</f>
        <v>0</v>
      </c>
      <c r="H46" s="202">
        <f>+'memorias de calculo'!I142</f>
        <v>0</v>
      </c>
      <c r="I46" s="220">
        <f>+H46*F46</f>
        <v>0</v>
      </c>
      <c r="J46" s="188">
        <f t="shared" si="3"/>
        <v>0</v>
      </c>
      <c r="K46" s="221">
        <f t="shared" ref="K46" si="14">ROUND(+H46*F46,)</f>
        <v>0</v>
      </c>
    </row>
    <row r="47" spans="2:11" x14ac:dyDescent="0.2">
      <c r="B47" s="12">
        <f>B46+0.1</f>
        <v>5.1999999999999993</v>
      </c>
      <c r="C47" s="19" t="s">
        <v>38</v>
      </c>
      <c r="D47" s="1" t="s">
        <v>10</v>
      </c>
      <c r="E47" s="195"/>
      <c r="F47" s="14"/>
      <c r="G47" s="66">
        <f>ROUND(E47*F47,0)</f>
        <v>0</v>
      </c>
      <c r="H47" s="202">
        <v>0</v>
      </c>
      <c r="I47" s="220">
        <f t="shared" ref="I47:I48" si="15">+H47*F47</f>
        <v>0</v>
      </c>
      <c r="J47" s="188">
        <f t="shared" si="3"/>
        <v>0</v>
      </c>
      <c r="K47" s="221">
        <f t="shared" ref="K47:K48" si="16">+J47*H47</f>
        <v>0</v>
      </c>
    </row>
    <row r="48" spans="2:11" x14ac:dyDescent="0.2">
      <c r="B48" s="12">
        <f>B47+0.1</f>
        <v>5.2999999999999989</v>
      </c>
      <c r="C48" s="15" t="s">
        <v>39</v>
      </c>
      <c r="D48" s="1" t="s">
        <v>14</v>
      </c>
      <c r="E48" s="197"/>
      <c r="F48" s="14"/>
      <c r="G48" s="66">
        <f>ROUND(E48*F48,0)</f>
        <v>0</v>
      </c>
      <c r="H48" s="202">
        <v>0</v>
      </c>
      <c r="I48" s="220">
        <f t="shared" si="15"/>
        <v>0</v>
      </c>
      <c r="J48" s="188">
        <f t="shared" si="3"/>
        <v>0</v>
      </c>
      <c r="K48" s="221">
        <f t="shared" si="16"/>
        <v>0</v>
      </c>
    </row>
    <row r="49" spans="2:11" x14ac:dyDescent="0.2">
      <c r="B49" s="12"/>
      <c r="C49" s="19"/>
      <c r="D49" s="1"/>
      <c r="E49" s="195"/>
      <c r="F49" s="16" t="s">
        <v>18</v>
      </c>
      <c r="G49" s="68">
        <f>SUM(G46:G48)</f>
        <v>0</v>
      </c>
      <c r="H49" s="202"/>
      <c r="I49" s="222">
        <f>+SUM(I46:I48)</f>
        <v>0</v>
      </c>
      <c r="J49" s="188"/>
      <c r="K49" s="223">
        <f>+SUM(K46:K48)</f>
        <v>0</v>
      </c>
    </row>
    <row r="50" spans="2:11" x14ac:dyDescent="0.2">
      <c r="B50" s="12">
        <v>6</v>
      </c>
      <c r="C50" s="49" t="s">
        <v>40</v>
      </c>
      <c r="D50" s="49"/>
      <c r="E50" s="195"/>
      <c r="F50" s="16"/>
      <c r="G50" s="68"/>
      <c r="H50" s="202"/>
      <c r="I50" s="220"/>
      <c r="J50" s="188"/>
      <c r="K50" s="221"/>
    </row>
    <row r="51" spans="2:11" x14ac:dyDescent="0.2">
      <c r="B51" s="12">
        <f t="shared" ref="B51:B53" si="17">B50+0.1</f>
        <v>6.1</v>
      </c>
      <c r="C51" s="15" t="s">
        <v>41</v>
      </c>
      <c r="D51" s="1" t="s">
        <v>10</v>
      </c>
      <c r="E51" s="197"/>
      <c r="F51" s="7"/>
      <c r="G51" s="67">
        <f t="shared" ref="G51:G53" si="18">ROUND(E51*F51,0)</f>
        <v>0</v>
      </c>
      <c r="H51" s="202">
        <f>+'memorias de calculo'!I147</f>
        <v>0</v>
      </c>
      <c r="I51" s="220">
        <f t="shared" ref="I51:I53" si="19">+H51*F51</f>
        <v>0</v>
      </c>
      <c r="J51" s="188">
        <f t="shared" si="3"/>
        <v>0</v>
      </c>
      <c r="K51" s="221">
        <f t="shared" ref="K51:K53" si="20">ROUND(+H51*F51,)</f>
        <v>0</v>
      </c>
    </row>
    <row r="52" spans="2:11" x14ac:dyDescent="0.2">
      <c r="B52" s="12">
        <f t="shared" si="17"/>
        <v>6.1999999999999993</v>
      </c>
      <c r="C52" s="15" t="s">
        <v>42</v>
      </c>
      <c r="D52" s="1" t="s">
        <v>10</v>
      </c>
      <c r="E52" s="197"/>
      <c r="F52" s="7"/>
      <c r="G52" s="67">
        <f t="shared" si="18"/>
        <v>0</v>
      </c>
      <c r="H52" s="202">
        <f>+'memorias de calculo'!I148</f>
        <v>0</v>
      </c>
      <c r="I52" s="220">
        <f t="shared" si="19"/>
        <v>0</v>
      </c>
      <c r="J52" s="188">
        <f t="shared" si="3"/>
        <v>0</v>
      </c>
      <c r="K52" s="221">
        <f t="shared" si="20"/>
        <v>0</v>
      </c>
    </row>
    <row r="53" spans="2:11" x14ac:dyDescent="0.2">
      <c r="B53" s="12">
        <f t="shared" si="17"/>
        <v>6.2999999999999989</v>
      </c>
      <c r="C53" s="15" t="s">
        <v>43</v>
      </c>
      <c r="D53" s="1" t="s">
        <v>10</v>
      </c>
      <c r="E53" s="197"/>
      <c r="F53" s="7"/>
      <c r="G53" s="67">
        <f t="shared" si="18"/>
        <v>0</v>
      </c>
      <c r="H53" s="202">
        <f>+'memorias de calculo'!I149</f>
        <v>0</v>
      </c>
      <c r="I53" s="220">
        <f t="shared" si="19"/>
        <v>0</v>
      </c>
      <c r="J53" s="188">
        <f t="shared" si="3"/>
        <v>0</v>
      </c>
      <c r="K53" s="221">
        <f t="shared" si="20"/>
        <v>0</v>
      </c>
    </row>
    <row r="54" spans="2:11" x14ac:dyDescent="0.2">
      <c r="B54" s="12"/>
      <c r="C54" s="19"/>
      <c r="D54" s="2"/>
      <c r="E54" s="2"/>
      <c r="F54" s="16" t="s">
        <v>18</v>
      </c>
      <c r="G54" s="101">
        <f>SUM(G51:G53)</f>
        <v>0</v>
      </c>
      <c r="H54" s="202"/>
      <c r="I54" s="222">
        <f>+SUM(I51:I53)</f>
        <v>0</v>
      </c>
      <c r="J54" s="188"/>
      <c r="K54" s="223">
        <f>+SUM(K51:K53)</f>
        <v>0</v>
      </c>
    </row>
    <row r="55" spans="2:11" x14ac:dyDescent="0.2">
      <c r="B55" s="23"/>
      <c r="C55" s="24"/>
      <c r="D55" s="251" t="s">
        <v>44</v>
      </c>
      <c r="E55" s="251"/>
      <c r="F55" s="251"/>
      <c r="G55" s="69">
        <f>G25+G34+G37+G44+G49+G54</f>
        <v>0</v>
      </c>
      <c r="H55" s="202"/>
      <c r="I55" s="204">
        <f>I25+I34+I37+I44+I49+I54</f>
        <v>0</v>
      </c>
      <c r="J55" s="188"/>
      <c r="K55" s="126">
        <f>K25+K34+K37+K44+K49+K54</f>
        <v>0</v>
      </c>
    </row>
    <row r="56" spans="2:11" x14ac:dyDescent="0.2">
      <c r="B56" s="23"/>
      <c r="C56" s="24"/>
      <c r="D56" s="250" t="s">
        <v>45</v>
      </c>
      <c r="E56" s="250"/>
      <c r="F56" s="25">
        <v>0.28000000000000003</v>
      </c>
      <c r="G56" s="70">
        <f>ROUND(G55*F56,0)</f>
        <v>0</v>
      </c>
      <c r="H56" s="202"/>
      <c r="I56" s="205">
        <f>ROUND(I55*F56,0)</f>
        <v>0</v>
      </c>
      <c r="J56" s="188"/>
      <c r="K56" s="127">
        <f>ROUND(K55*F56,0)</f>
        <v>0</v>
      </c>
    </row>
    <row r="57" spans="2:11" x14ac:dyDescent="0.2">
      <c r="B57" s="23"/>
      <c r="C57" s="24"/>
      <c r="D57" s="250" t="s">
        <v>46</v>
      </c>
      <c r="E57" s="250"/>
      <c r="F57" s="25">
        <v>0.02</v>
      </c>
      <c r="G57" s="70">
        <f>ROUND(G55*F57,0)</f>
        <v>0</v>
      </c>
      <c r="H57" s="202"/>
      <c r="I57" s="205">
        <f>ROUND(I55*F57,0)</f>
        <v>0</v>
      </c>
      <c r="J57" s="188"/>
      <c r="K57" s="127">
        <f>ROUND(K55*F57,0)</f>
        <v>0</v>
      </c>
    </row>
    <row r="58" spans="2:11" ht="13.5" thickBot="1" x14ac:dyDescent="0.25">
      <c r="B58" s="26"/>
      <c r="C58" s="99"/>
      <c r="D58" s="254" t="s">
        <v>47</v>
      </c>
      <c r="E58" s="254"/>
      <c r="F58" s="100">
        <v>0.05</v>
      </c>
      <c r="G58" s="102">
        <f>ROUND(G55*F58,0)</f>
        <v>0</v>
      </c>
      <c r="H58" s="206"/>
      <c r="I58" s="207">
        <f>ROUND(I55*F58,0)</f>
        <v>0</v>
      </c>
      <c r="J58" s="189"/>
      <c r="K58" s="128">
        <f>ROUND(K55*F58,0)</f>
        <v>0</v>
      </c>
    </row>
    <row r="59" spans="2:11" ht="13.5" thickBot="1" x14ac:dyDescent="0.25">
      <c r="B59" s="95"/>
      <c r="C59" s="96"/>
      <c r="D59" s="255" t="s">
        <v>78</v>
      </c>
      <c r="E59" s="256"/>
      <c r="F59" s="256"/>
      <c r="G59" s="97">
        <f>SUM(G55:G58)</f>
        <v>0</v>
      </c>
      <c r="H59" s="208"/>
      <c r="I59" s="209">
        <f>SUM(I55:I58)</f>
        <v>0</v>
      </c>
      <c r="J59" s="190"/>
      <c r="K59" s="129">
        <f>SUM(K55:K58)</f>
        <v>0</v>
      </c>
    </row>
    <row r="60" spans="2:11" ht="21.75" customHeight="1" thickBot="1" x14ac:dyDescent="0.25">
      <c r="B60" s="226" t="s">
        <v>77</v>
      </c>
      <c r="C60" s="227"/>
      <c r="D60" s="227"/>
      <c r="E60" s="227"/>
      <c r="F60" s="227"/>
      <c r="G60" s="227"/>
      <c r="H60" s="227"/>
      <c r="I60" s="227"/>
      <c r="J60" s="227"/>
      <c r="K60" s="228"/>
    </row>
    <row r="61" spans="2:11" ht="30" customHeight="1" thickBot="1" x14ac:dyDescent="0.3">
      <c r="B61" s="294" t="s">
        <v>88</v>
      </c>
      <c r="C61" s="295"/>
      <c r="D61" s="294" t="s">
        <v>87</v>
      </c>
      <c r="E61" s="296"/>
      <c r="F61" s="296"/>
      <c r="G61" s="296"/>
      <c r="H61" s="252" t="s">
        <v>152</v>
      </c>
      <c r="I61" s="253"/>
      <c r="J61" s="224" t="s">
        <v>153</v>
      </c>
      <c r="K61" s="225"/>
    </row>
    <row r="62" spans="2:11" x14ac:dyDescent="0.2">
      <c r="B62" s="27" t="s">
        <v>0</v>
      </c>
      <c r="C62" s="39" t="s">
        <v>86</v>
      </c>
      <c r="D62" s="6" t="s">
        <v>48</v>
      </c>
      <c r="E62" s="6" t="s">
        <v>49</v>
      </c>
      <c r="F62" s="28" t="s">
        <v>4</v>
      </c>
      <c r="G62" s="118" t="s">
        <v>50</v>
      </c>
      <c r="H62" s="198" t="s">
        <v>3</v>
      </c>
      <c r="I62" s="199" t="s">
        <v>5</v>
      </c>
      <c r="J62" s="185" t="s">
        <v>3</v>
      </c>
      <c r="K62" s="124" t="s">
        <v>5</v>
      </c>
    </row>
    <row r="63" spans="2:11" x14ac:dyDescent="0.2">
      <c r="B63" s="17">
        <v>1</v>
      </c>
      <c r="C63" s="3" t="s">
        <v>6</v>
      </c>
      <c r="D63" s="1"/>
      <c r="E63" s="1"/>
      <c r="F63" s="30"/>
      <c r="G63" s="119"/>
      <c r="H63" s="202"/>
      <c r="I63" s="201"/>
      <c r="J63" s="188"/>
      <c r="K63" s="122"/>
    </row>
    <row r="64" spans="2:11" x14ac:dyDescent="0.2">
      <c r="B64" s="31">
        <f t="shared" ref="B64:B70" si="21">B63+0.01</f>
        <v>1.01</v>
      </c>
      <c r="C64" s="15" t="s">
        <v>51</v>
      </c>
      <c r="D64" s="1" t="s">
        <v>8</v>
      </c>
      <c r="E64" s="197">
        <v>0</v>
      </c>
      <c r="F64" s="7"/>
      <c r="G64" s="67">
        <f t="shared" ref="G64:G70" si="22">ROUND(E64*F64,0)</f>
        <v>0</v>
      </c>
      <c r="H64" s="202">
        <v>0</v>
      </c>
      <c r="I64" s="220">
        <f>+H64*F64</f>
        <v>0</v>
      </c>
      <c r="J64" s="188">
        <v>0</v>
      </c>
      <c r="K64" s="221">
        <f>+J64*F64</f>
        <v>0</v>
      </c>
    </row>
    <row r="65" spans="2:11" x14ac:dyDescent="0.2">
      <c r="B65" s="31">
        <f t="shared" si="21"/>
        <v>1.02</v>
      </c>
      <c r="C65" s="13" t="s">
        <v>52</v>
      </c>
      <c r="D65" s="1" t="s">
        <v>16</v>
      </c>
      <c r="E65" s="197">
        <v>0</v>
      </c>
      <c r="F65" s="7">
        <f>+F24</f>
        <v>0</v>
      </c>
      <c r="G65" s="67">
        <f t="shared" si="22"/>
        <v>0</v>
      </c>
      <c r="H65" s="202">
        <v>0</v>
      </c>
      <c r="I65" s="220">
        <f t="shared" ref="I65:I70" si="23">+H65*F65</f>
        <v>0</v>
      </c>
      <c r="J65" s="188">
        <v>0</v>
      </c>
      <c r="K65" s="221">
        <f t="shared" ref="K65:K70" si="24">+J65*F65</f>
        <v>0</v>
      </c>
    </row>
    <row r="66" spans="2:11" x14ac:dyDescent="0.2">
      <c r="B66" s="31">
        <f t="shared" si="21"/>
        <v>1.03</v>
      </c>
      <c r="C66" s="15" t="s">
        <v>84</v>
      </c>
      <c r="D66" s="1" t="s">
        <v>16</v>
      </c>
      <c r="E66" s="197">
        <v>0</v>
      </c>
      <c r="F66" s="7">
        <f>+F23</f>
        <v>0</v>
      </c>
      <c r="G66" s="67">
        <f t="shared" si="22"/>
        <v>0</v>
      </c>
      <c r="H66" s="202">
        <v>0</v>
      </c>
      <c r="I66" s="220">
        <f t="shared" si="23"/>
        <v>0</v>
      </c>
      <c r="J66" s="188">
        <v>0</v>
      </c>
      <c r="K66" s="221">
        <f t="shared" si="24"/>
        <v>0</v>
      </c>
    </row>
    <row r="67" spans="2:11" x14ac:dyDescent="0.2">
      <c r="B67" s="31">
        <f t="shared" si="21"/>
        <v>1.04</v>
      </c>
      <c r="C67" s="13" t="s">
        <v>53</v>
      </c>
      <c r="D67" s="1" t="s">
        <v>8</v>
      </c>
      <c r="E67" s="197">
        <v>0</v>
      </c>
      <c r="F67" s="7">
        <f>+F20</f>
        <v>0</v>
      </c>
      <c r="G67" s="67">
        <f t="shared" si="22"/>
        <v>0</v>
      </c>
      <c r="H67" s="202">
        <v>0</v>
      </c>
      <c r="I67" s="220">
        <f t="shared" si="23"/>
        <v>0</v>
      </c>
      <c r="J67" s="188">
        <v>0</v>
      </c>
      <c r="K67" s="221">
        <f t="shared" si="24"/>
        <v>0</v>
      </c>
    </row>
    <row r="68" spans="2:11" x14ac:dyDescent="0.2">
      <c r="B68" s="31">
        <f t="shared" si="21"/>
        <v>1.05</v>
      </c>
      <c r="C68" s="13" t="s">
        <v>9</v>
      </c>
      <c r="D68" s="1" t="s">
        <v>10</v>
      </c>
      <c r="E68" s="197">
        <v>0</v>
      </c>
      <c r="F68" s="7">
        <f>+F19</f>
        <v>0</v>
      </c>
      <c r="G68" s="67">
        <f t="shared" si="22"/>
        <v>0</v>
      </c>
      <c r="H68" s="202">
        <v>0</v>
      </c>
      <c r="I68" s="220">
        <f t="shared" si="23"/>
        <v>0</v>
      </c>
      <c r="J68" s="188">
        <v>0</v>
      </c>
      <c r="K68" s="221">
        <f t="shared" si="24"/>
        <v>0</v>
      </c>
    </row>
    <row r="69" spans="2:11" x14ac:dyDescent="0.2">
      <c r="B69" s="31">
        <f t="shared" si="21"/>
        <v>1.06</v>
      </c>
      <c r="C69" s="13" t="s">
        <v>54</v>
      </c>
      <c r="D69" s="1" t="s">
        <v>10</v>
      </c>
      <c r="E69" s="197">
        <v>1</v>
      </c>
      <c r="F69" s="7"/>
      <c r="G69" s="67">
        <f t="shared" si="22"/>
        <v>0</v>
      </c>
      <c r="H69" s="202">
        <v>0</v>
      </c>
      <c r="I69" s="220">
        <f t="shared" si="23"/>
        <v>0</v>
      </c>
      <c r="J69" s="188">
        <v>0</v>
      </c>
      <c r="K69" s="221">
        <f t="shared" si="24"/>
        <v>0</v>
      </c>
    </row>
    <row r="70" spans="2:11" x14ac:dyDescent="0.2">
      <c r="B70" s="31">
        <f t="shared" si="21"/>
        <v>1.07</v>
      </c>
      <c r="C70" s="13" t="s">
        <v>12</v>
      </c>
      <c r="D70" s="1" t="s">
        <v>8</v>
      </c>
      <c r="E70" s="197">
        <v>0</v>
      </c>
      <c r="F70" s="7">
        <f>+F21</f>
        <v>0</v>
      </c>
      <c r="G70" s="67">
        <f t="shared" si="22"/>
        <v>0</v>
      </c>
      <c r="H70" s="202">
        <v>0</v>
      </c>
      <c r="I70" s="220">
        <f t="shared" si="23"/>
        <v>0</v>
      </c>
      <c r="J70" s="188">
        <v>0</v>
      </c>
      <c r="K70" s="221">
        <f t="shared" si="24"/>
        <v>0</v>
      </c>
    </row>
    <row r="71" spans="2:11" x14ac:dyDescent="0.2">
      <c r="B71" s="31"/>
      <c r="C71" s="3"/>
      <c r="D71" s="2"/>
      <c r="E71" s="2"/>
      <c r="F71" s="33" t="s">
        <v>18</v>
      </c>
      <c r="G71" s="101">
        <f>SUM(G64:G70)</f>
        <v>0</v>
      </c>
      <c r="H71" s="202"/>
      <c r="I71" s="222">
        <f>+SUM(I64:I70)</f>
        <v>0</v>
      </c>
      <c r="J71" s="188"/>
      <c r="K71" s="223">
        <f>+SUM(K64:K70)</f>
        <v>0</v>
      </c>
    </row>
    <row r="72" spans="2:11" x14ac:dyDescent="0.2">
      <c r="B72" s="17">
        <v>2</v>
      </c>
      <c r="C72" s="3" t="s">
        <v>19</v>
      </c>
      <c r="D72" s="1"/>
      <c r="E72" s="1"/>
      <c r="F72" s="7" t="s">
        <v>55</v>
      </c>
      <c r="G72" s="67"/>
      <c r="H72" s="202"/>
      <c r="I72" s="220"/>
      <c r="J72" s="188"/>
      <c r="K72" s="221"/>
    </row>
    <row r="73" spans="2:11" x14ac:dyDescent="0.2">
      <c r="B73" s="31">
        <f>B72+0.01</f>
        <v>2.0099999999999998</v>
      </c>
      <c r="C73" s="15" t="s">
        <v>56</v>
      </c>
      <c r="D73" s="1" t="s">
        <v>21</v>
      </c>
      <c r="E73" s="197"/>
      <c r="F73" s="7">
        <f>+F27</f>
        <v>0</v>
      </c>
      <c r="G73" s="67">
        <f>ROUND(E73*F73,0)</f>
        <v>0</v>
      </c>
      <c r="H73" s="202">
        <f>+'memorias de calculo'!I157</f>
        <v>0</v>
      </c>
      <c r="I73" s="220">
        <f>ROUND(+H73*F73,)</f>
        <v>0</v>
      </c>
      <c r="J73" s="188">
        <v>19.810000000000002</v>
      </c>
      <c r="K73" s="221">
        <f>ROUND(+J73*F73,)</f>
        <v>0</v>
      </c>
    </row>
    <row r="74" spans="2:11" ht="25.5" x14ac:dyDescent="0.2">
      <c r="B74" s="31">
        <f t="shared" ref="B74:B78" si="25">B73+0.01</f>
        <v>2.0199999999999996</v>
      </c>
      <c r="C74" s="15" t="s">
        <v>57</v>
      </c>
      <c r="D74" s="1" t="s">
        <v>21</v>
      </c>
      <c r="E74" s="197"/>
      <c r="F74" s="7">
        <f>+F29</f>
        <v>0</v>
      </c>
      <c r="G74" s="67">
        <f t="shared" ref="G74:G78" si="26">ROUND(E74*F74,0)</f>
        <v>0</v>
      </c>
      <c r="H74" s="202">
        <v>0</v>
      </c>
      <c r="I74" s="220">
        <f t="shared" ref="I74:I78" si="27">ROUND(+H74*F74,)</f>
        <v>0</v>
      </c>
      <c r="J74" s="188">
        <v>0</v>
      </c>
      <c r="K74" s="221">
        <f t="shared" ref="K74:K78" si="28">ROUND(+J74*F74,)</f>
        <v>0</v>
      </c>
    </row>
    <row r="75" spans="2:11" ht="25.5" x14ac:dyDescent="0.2">
      <c r="B75" s="31">
        <f t="shared" si="25"/>
        <v>2.0299999999999994</v>
      </c>
      <c r="C75" s="15" t="s">
        <v>58</v>
      </c>
      <c r="D75" s="1" t="s">
        <v>21</v>
      </c>
      <c r="E75" s="197"/>
      <c r="F75" s="7">
        <f>+F30</f>
        <v>0</v>
      </c>
      <c r="G75" s="67">
        <f t="shared" si="26"/>
        <v>0</v>
      </c>
      <c r="H75" s="202">
        <f>+'memorias de calculo'!I167</f>
        <v>0</v>
      </c>
      <c r="I75" s="220">
        <f t="shared" si="27"/>
        <v>0</v>
      </c>
      <c r="J75" s="188">
        <v>5</v>
      </c>
      <c r="K75" s="221">
        <f t="shared" si="28"/>
        <v>0</v>
      </c>
    </row>
    <row r="76" spans="2:11" ht="25.5" x14ac:dyDescent="0.2">
      <c r="B76" s="31">
        <f t="shared" si="25"/>
        <v>2.0399999999999991</v>
      </c>
      <c r="C76" s="15" t="s">
        <v>59</v>
      </c>
      <c r="D76" s="1" t="s">
        <v>21</v>
      </c>
      <c r="E76" s="197"/>
      <c r="F76" s="7">
        <f>+F32</f>
        <v>0</v>
      </c>
      <c r="G76" s="67">
        <f t="shared" si="26"/>
        <v>0</v>
      </c>
      <c r="H76" s="202">
        <v>0</v>
      </c>
      <c r="I76" s="220">
        <f t="shared" si="27"/>
        <v>0</v>
      </c>
      <c r="J76" s="188">
        <v>0</v>
      </c>
      <c r="K76" s="221">
        <f t="shared" si="28"/>
        <v>0</v>
      </c>
    </row>
    <row r="77" spans="2:11" ht="25.5" x14ac:dyDescent="0.2">
      <c r="B77" s="31">
        <f t="shared" si="25"/>
        <v>2.0499999999999989</v>
      </c>
      <c r="C77" s="15" t="s">
        <v>60</v>
      </c>
      <c r="D77" s="1" t="s">
        <v>21</v>
      </c>
      <c r="E77" s="197"/>
      <c r="F77" s="7"/>
      <c r="G77" s="67">
        <f t="shared" si="26"/>
        <v>0</v>
      </c>
      <c r="H77" s="202">
        <f>+'memorias de calculo'!I175</f>
        <v>0</v>
      </c>
      <c r="I77" s="220">
        <f t="shared" si="27"/>
        <v>0</v>
      </c>
      <c r="J77" s="188">
        <v>8.02</v>
      </c>
      <c r="K77" s="221">
        <f t="shared" si="28"/>
        <v>0</v>
      </c>
    </row>
    <row r="78" spans="2:11" x14ac:dyDescent="0.2">
      <c r="B78" s="31">
        <f t="shared" si="25"/>
        <v>2.0599999999999987</v>
      </c>
      <c r="C78" s="15" t="s">
        <v>61</v>
      </c>
      <c r="D78" s="1" t="s">
        <v>21</v>
      </c>
      <c r="E78" s="197"/>
      <c r="F78" s="7">
        <f>+F33</f>
        <v>0</v>
      </c>
      <c r="G78" s="67">
        <f t="shared" si="26"/>
        <v>0</v>
      </c>
      <c r="H78" s="202">
        <f>+'memorias de calculo'!I184</f>
        <v>0</v>
      </c>
      <c r="I78" s="220">
        <f t="shared" si="27"/>
        <v>0</v>
      </c>
      <c r="J78" s="188">
        <v>19.809999999999999</v>
      </c>
      <c r="K78" s="221">
        <f t="shared" si="28"/>
        <v>0</v>
      </c>
    </row>
    <row r="79" spans="2:11" x14ac:dyDescent="0.2">
      <c r="B79" s="31"/>
      <c r="C79" s="18"/>
      <c r="D79" s="2"/>
      <c r="E79" s="2"/>
      <c r="F79" s="33" t="s">
        <v>85</v>
      </c>
      <c r="G79" s="101">
        <f>SUM(G73:G78)</f>
        <v>0</v>
      </c>
      <c r="H79" s="202"/>
      <c r="I79" s="222">
        <f>+SUM(I73:I78)</f>
        <v>0</v>
      </c>
      <c r="J79" s="188"/>
      <c r="K79" s="223">
        <f>+SUM(K73:K78)</f>
        <v>0</v>
      </c>
    </row>
    <row r="80" spans="2:11" x14ac:dyDescent="0.2">
      <c r="B80" s="17">
        <v>3</v>
      </c>
      <c r="C80" s="18" t="s">
        <v>62</v>
      </c>
      <c r="D80" s="1"/>
      <c r="E80" s="1"/>
      <c r="F80" s="7" t="s">
        <v>55</v>
      </c>
      <c r="G80" s="67"/>
      <c r="H80" s="202"/>
      <c r="I80" s="220"/>
      <c r="J80" s="188"/>
      <c r="K80" s="221"/>
    </row>
    <row r="81" spans="2:11" x14ac:dyDescent="0.2">
      <c r="B81" s="31">
        <f>B80+0.01</f>
        <v>3.01</v>
      </c>
      <c r="C81" s="15" t="s">
        <v>63</v>
      </c>
      <c r="D81" s="1" t="s">
        <v>21</v>
      </c>
      <c r="E81" s="197"/>
      <c r="F81" s="7"/>
      <c r="G81" s="67">
        <f>ROUND(E81*F81,0)</f>
        <v>0</v>
      </c>
      <c r="H81" s="202">
        <v>0</v>
      </c>
      <c r="I81" s="220">
        <f>+H81*F81</f>
        <v>0</v>
      </c>
      <c r="J81" s="188">
        <v>0</v>
      </c>
      <c r="K81" s="221">
        <f t="shared" ref="K81:K84" si="29">ROUND(+J81*F81,)</f>
        <v>0</v>
      </c>
    </row>
    <row r="82" spans="2:11" ht="15.75" customHeight="1" x14ac:dyDescent="0.2">
      <c r="B82" s="31">
        <f t="shared" ref="B82:B84" si="30">B81+0.01</f>
        <v>3.0199999999999996</v>
      </c>
      <c r="C82" s="15" t="s">
        <v>64</v>
      </c>
      <c r="D82" s="1" t="s">
        <v>21</v>
      </c>
      <c r="E82" s="197"/>
      <c r="F82" s="7"/>
      <c r="G82" s="67">
        <f t="shared" ref="G82:G84" si="31">ROUND(E82*F82,0)</f>
        <v>0</v>
      </c>
      <c r="H82" s="202">
        <v>0</v>
      </c>
      <c r="I82" s="220">
        <f t="shared" ref="I82:I84" si="32">+H82*F82</f>
        <v>0</v>
      </c>
      <c r="J82" s="188">
        <v>0</v>
      </c>
      <c r="K82" s="221">
        <f t="shared" si="29"/>
        <v>0</v>
      </c>
    </row>
    <row r="83" spans="2:11" ht="22.5" customHeight="1" x14ac:dyDescent="0.2">
      <c r="B83" s="31">
        <f t="shared" si="30"/>
        <v>3.0299999999999994</v>
      </c>
      <c r="C83" s="15" t="s">
        <v>65</v>
      </c>
      <c r="D83" s="1" t="s">
        <v>16</v>
      </c>
      <c r="E83" s="197">
        <v>0</v>
      </c>
      <c r="F83" s="7">
        <f>+F39</f>
        <v>0</v>
      </c>
      <c r="G83" s="67">
        <f t="shared" si="31"/>
        <v>0</v>
      </c>
      <c r="H83" s="202">
        <v>0</v>
      </c>
      <c r="I83" s="220">
        <f t="shared" si="32"/>
        <v>0</v>
      </c>
      <c r="J83" s="188">
        <v>0</v>
      </c>
      <c r="K83" s="221">
        <f t="shared" si="29"/>
        <v>0</v>
      </c>
    </row>
    <row r="84" spans="2:11" ht="25.5" x14ac:dyDescent="0.2">
      <c r="B84" s="31">
        <f t="shared" si="30"/>
        <v>3.0399999999999991</v>
      </c>
      <c r="C84" s="15" t="s">
        <v>66</v>
      </c>
      <c r="D84" s="1" t="s">
        <v>10</v>
      </c>
      <c r="E84" s="197"/>
      <c r="F84" s="7"/>
      <c r="G84" s="67">
        <f t="shared" si="31"/>
        <v>0</v>
      </c>
      <c r="H84" s="202">
        <v>0</v>
      </c>
      <c r="I84" s="220">
        <f t="shared" si="32"/>
        <v>0</v>
      </c>
      <c r="J84" s="188">
        <v>0</v>
      </c>
      <c r="K84" s="221">
        <f t="shared" si="29"/>
        <v>0</v>
      </c>
    </row>
    <row r="85" spans="2:11" x14ac:dyDescent="0.2">
      <c r="B85" s="31"/>
      <c r="C85" s="18"/>
      <c r="D85" s="2"/>
      <c r="E85" s="2"/>
      <c r="F85" s="33" t="s">
        <v>18</v>
      </c>
      <c r="G85" s="101">
        <f>SUM(G81:G84)</f>
        <v>0</v>
      </c>
      <c r="H85" s="202"/>
      <c r="I85" s="222">
        <f>+SUM(I81:I84)</f>
        <v>0</v>
      </c>
      <c r="J85" s="188"/>
      <c r="K85" s="223">
        <v>0</v>
      </c>
    </row>
    <row r="86" spans="2:11" ht="25.5" x14ac:dyDescent="0.2">
      <c r="B86" s="17">
        <v>4</v>
      </c>
      <c r="C86" s="18" t="s">
        <v>67</v>
      </c>
      <c r="D86" s="1"/>
      <c r="E86" s="1"/>
      <c r="F86" s="7" t="s">
        <v>55</v>
      </c>
      <c r="G86" s="67"/>
      <c r="H86" s="202"/>
      <c r="I86" s="220"/>
      <c r="J86" s="188"/>
      <c r="K86" s="221"/>
    </row>
    <row r="87" spans="2:11" ht="15.75" customHeight="1" x14ac:dyDescent="0.2">
      <c r="B87" s="31">
        <f>B86+0.01</f>
        <v>4.01</v>
      </c>
      <c r="C87" s="36" t="s">
        <v>68</v>
      </c>
      <c r="D87" s="1" t="s">
        <v>10</v>
      </c>
      <c r="E87" s="197"/>
      <c r="F87" s="7"/>
      <c r="G87" s="67">
        <f>ROUND(E87*F87,0)</f>
        <v>0</v>
      </c>
      <c r="H87" s="202">
        <v>0</v>
      </c>
      <c r="I87" s="220">
        <f>+H87*F87</f>
        <v>0</v>
      </c>
      <c r="J87" s="188">
        <v>0</v>
      </c>
      <c r="K87" s="221">
        <f t="shared" ref="K87:K91" si="33">ROUND(+J87*F87,)</f>
        <v>0</v>
      </c>
    </row>
    <row r="88" spans="2:11" ht="15.75" customHeight="1" x14ac:dyDescent="0.2">
      <c r="B88" s="31">
        <f t="shared" ref="B88:B91" si="34">B87+0.01</f>
        <v>4.0199999999999996</v>
      </c>
      <c r="C88" s="36" t="s">
        <v>69</v>
      </c>
      <c r="D88" s="1" t="s">
        <v>10</v>
      </c>
      <c r="E88" s="197"/>
      <c r="F88" s="7"/>
      <c r="G88" s="67">
        <f t="shared" ref="G88:G91" si="35">ROUND(E88*F88,0)</f>
        <v>0</v>
      </c>
      <c r="H88" s="202">
        <v>0</v>
      </c>
      <c r="I88" s="220">
        <f t="shared" ref="I88:I90" si="36">+H88*F88</f>
        <v>0</v>
      </c>
      <c r="J88" s="188">
        <v>0</v>
      </c>
      <c r="K88" s="221">
        <f t="shared" si="33"/>
        <v>0</v>
      </c>
    </row>
    <row r="89" spans="2:11" x14ac:dyDescent="0.2">
      <c r="B89" s="31">
        <f t="shared" si="34"/>
        <v>4.0299999999999994</v>
      </c>
      <c r="C89" s="36" t="s">
        <v>70</v>
      </c>
      <c r="D89" s="1" t="s">
        <v>10</v>
      </c>
      <c r="E89" s="197"/>
      <c r="F89" s="7"/>
      <c r="G89" s="67">
        <f t="shared" si="35"/>
        <v>0</v>
      </c>
      <c r="H89" s="202">
        <v>0</v>
      </c>
      <c r="I89" s="220">
        <f t="shared" si="36"/>
        <v>0</v>
      </c>
      <c r="J89" s="188">
        <v>0</v>
      </c>
      <c r="K89" s="221">
        <f t="shared" si="33"/>
        <v>0</v>
      </c>
    </row>
    <row r="90" spans="2:11" ht="15.75" customHeight="1" x14ac:dyDescent="0.2">
      <c r="B90" s="31">
        <f t="shared" si="34"/>
        <v>4.0399999999999991</v>
      </c>
      <c r="C90" s="36" t="s">
        <v>71</v>
      </c>
      <c r="D90" s="1" t="s">
        <v>8</v>
      </c>
      <c r="E90" s="197"/>
      <c r="F90" s="7"/>
      <c r="G90" s="67">
        <f t="shared" si="35"/>
        <v>0</v>
      </c>
      <c r="H90" s="202">
        <f>+'memorias de calculo'!I200</f>
        <v>0</v>
      </c>
      <c r="I90" s="220">
        <f t="shared" si="36"/>
        <v>0</v>
      </c>
      <c r="J90" s="188">
        <v>40</v>
      </c>
      <c r="K90" s="221">
        <f t="shared" si="33"/>
        <v>0</v>
      </c>
    </row>
    <row r="91" spans="2:11" ht="38.25" x14ac:dyDescent="0.2">
      <c r="B91" s="31">
        <f t="shared" si="34"/>
        <v>4.0499999999999989</v>
      </c>
      <c r="C91" s="36" t="s">
        <v>72</v>
      </c>
      <c r="D91" s="1" t="s">
        <v>10</v>
      </c>
      <c r="E91" s="197"/>
      <c r="F91" s="7"/>
      <c r="G91" s="67">
        <f t="shared" si="35"/>
        <v>0</v>
      </c>
      <c r="H91" s="202">
        <f>+'memorias de calculo'!I201</f>
        <v>0</v>
      </c>
      <c r="I91" s="220">
        <f>ROUND(+H91*F91,)</f>
        <v>0</v>
      </c>
      <c r="J91" s="188">
        <v>10</v>
      </c>
      <c r="K91" s="221">
        <f t="shared" si="33"/>
        <v>0</v>
      </c>
    </row>
    <row r="92" spans="2:11" x14ac:dyDescent="0.2">
      <c r="B92" s="31"/>
      <c r="C92" s="18"/>
      <c r="D92" s="2"/>
      <c r="E92" s="2"/>
      <c r="F92" s="33" t="s">
        <v>18</v>
      </c>
      <c r="G92" s="101">
        <f>SUM(G87:G91)</f>
        <v>0</v>
      </c>
      <c r="H92" s="202"/>
      <c r="I92" s="222">
        <f>+SUM(I87:I91)</f>
        <v>0</v>
      </c>
      <c r="J92" s="188"/>
      <c r="K92" s="223">
        <f>+SUM(K87:K91)</f>
        <v>0</v>
      </c>
    </row>
    <row r="93" spans="2:11" x14ac:dyDescent="0.2">
      <c r="B93" s="17">
        <v>5</v>
      </c>
      <c r="C93" s="18" t="s">
        <v>40</v>
      </c>
      <c r="D93" s="2"/>
      <c r="E93" s="2"/>
      <c r="F93" s="7"/>
      <c r="G93" s="101"/>
      <c r="H93" s="202"/>
      <c r="I93" s="220"/>
      <c r="J93" s="188"/>
      <c r="K93" s="221"/>
    </row>
    <row r="94" spans="2:11" x14ac:dyDescent="0.2">
      <c r="B94" s="31">
        <f t="shared" ref="B94:B96" si="37">B93+0.01</f>
        <v>5.01</v>
      </c>
      <c r="C94" s="15" t="s">
        <v>41</v>
      </c>
      <c r="D94" s="1" t="s">
        <v>10</v>
      </c>
      <c r="E94" s="197">
        <v>0</v>
      </c>
      <c r="F94" s="7">
        <f>+F51</f>
        <v>0</v>
      </c>
      <c r="G94" s="67">
        <f t="shared" ref="G94:G96" si="38">ROUND(E94*F94,0)</f>
        <v>0</v>
      </c>
      <c r="H94" s="202">
        <v>0</v>
      </c>
      <c r="I94" s="220">
        <f>+H94*F94</f>
        <v>0</v>
      </c>
      <c r="J94" s="188">
        <v>0</v>
      </c>
      <c r="K94" s="221">
        <f t="shared" ref="K94:K96" si="39">ROUND(+J94*F94,)</f>
        <v>0</v>
      </c>
    </row>
    <row r="95" spans="2:11" x14ac:dyDescent="0.2">
      <c r="B95" s="31">
        <f t="shared" si="37"/>
        <v>5.0199999999999996</v>
      </c>
      <c r="C95" s="15" t="s">
        <v>42</v>
      </c>
      <c r="D95" s="1" t="s">
        <v>10</v>
      </c>
      <c r="E95" s="197">
        <v>0</v>
      </c>
      <c r="F95" s="7">
        <f>+F52</f>
        <v>0</v>
      </c>
      <c r="G95" s="67">
        <f t="shared" si="38"/>
        <v>0</v>
      </c>
      <c r="H95" s="202">
        <v>0</v>
      </c>
      <c r="I95" s="220">
        <f t="shared" ref="I95:I96" si="40">+H95*F95</f>
        <v>0</v>
      </c>
      <c r="J95" s="188">
        <v>0</v>
      </c>
      <c r="K95" s="221">
        <f t="shared" si="39"/>
        <v>0</v>
      </c>
    </row>
    <row r="96" spans="2:11" x14ac:dyDescent="0.2">
      <c r="B96" s="31">
        <f t="shared" si="37"/>
        <v>5.0299999999999994</v>
      </c>
      <c r="C96" s="15" t="s">
        <v>43</v>
      </c>
      <c r="D96" s="1" t="s">
        <v>10</v>
      </c>
      <c r="E96" s="197">
        <v>0</v>
      </c>
      <c r="F96" s="7">
        <f>+F53</f>
        <v>0</v>
      </c>
      <c r="G96" s="67">
        <f t="shared" si="38"/>
        <v>0</v>
      </c>
      <c r="H96" s="202">
        <v>0</v>
      </c>
      <c r="I96" s="220">
        <f t="shared" si="40"/>
        <v>0</v>
      </c>
      <c r="J96" s="188">
        <v>0</v>
      </c>
      <c r="K96" s="221">
        <f t="shared" si="39"/>
        <v>0</v>
      </c>
    </row>
    <row r="97" spans="2:11" x14ac:dyDescent="0.2">
      <c r="B97" s="31"/>
      <c r="C97" s="15"/>
      <c r="D97" s="2"/>
      <c r="E97" s="2"/>
      <c r="F97" s="16" t="s">
        <v>18</v>
      </c>
      <c r="G97" s="101">
        <f>SUM(G94:G96)</f>
        <v>0</v>
      </c>
      <c r="H97" s="202"/>
      <c r="I97" s="222">
        <f>+SUM(I94:I96)</f>
        <v>0</v>
      </c>
      <c r="J97" s="188"/>
      <c r="K97" s="223">
        <f>+SUM(K94:K96)</f>
        <v>0</v>
      </c>
    </row>
    <row r="98" spans="2:11" x14ac:dyDescent="0.2">
      <c r="B98" s="17">
        <v>6</v>
      </c>
      <c r="C98" s="37" t="s">
        <v>73</v>
      </c>
      <c r="D98" s="1"/>
      <c r="E98" s="1"/>
      <c r="F98" s="7" t="s">
        <v>55</v>
      </c>
      <c r="G98" s="67"/>
      <c r="H98" s="202"/>
      <c r="I98" s="220"/>
      <c r="J98" s="188"/>
      <c r="K98" s="221"/>
    </row>
    <row r="99" spans="2:11" x14ac:dyDescent="0.2">
      <c r="B99" s="31">
        <f t="shared" ref="B99" si="41">B98+0.1</f>
        <v>6.1</v>
      </c>
      <c r="C99" s="15" t="s">
        <v>39</v>
      </c>
      <c r="D99" s="1" t="s">
        <v>14</v>
      </c>
      <c r="E99" s="197">
        <v>0</v>
      </c>
      <c r="F99" s="7">
        <f>+F48</f>
        <v>0</v>
      </c>
      <c r="G99" s="67">
        <f>ROUND(E99*F99,0)</f>
        <v>0</v>
      </c>
      <c r="H99" s="202">
        <v>0</v>
      </c>
      <c r="I99" s="220">
        <f>+H99*F99</f>
        <v>0</v>
      </c>
      <c r="J99" s="188">
        <v>0</v>
      </c>
      <c r="K99" s="221">
        <v>0</v>
      </c>
    </row>
    <row r="100" spans="2:11" x14ac:dyDescent="0.2">
      <c r="B100" s="31">
        <f>B99+0.1</f>
        <v>6.1999999999999993</v>
      </c>
      <c r="C100" s="15" t="s">
        <v>74</v>
      </c>
      <c r="D100" s="1" t="s">
        <v>8</v>
      </c>
      <c r="E100" s="197">
        <v>0</v>
      </c>
      <c r="F100" s="7"/>
      <c r="G100" s="67">
        <f>ROUND(E100*F100,0)</f>
        <v>0</v>
      </c>
      <c r="H100" s="202">
        <v>0</v>
      </c>
      <c r="I100" s="220">
        <f t="shared" ref="I100:I102" si="42">+H100*F100</f>
        <v>0</v>
      </c>
      <c r="J100" s="188">
        <v>0</v>
      </c>
      <c r="K100" s="221">
        <v>0</v>
      </c>
    </row>
    <row r="101" spans="2:11" x14ac:dyDescent="0.2">
      <c r="B101" s="31">
        <f t="shared" ref="B101:B102" si="43">B100+0.1</f>
        <v>6.2999999999999989</v>
      </c>
      <c r="C101" s="15" t="s">
        <v>81</v>
      </c>
      <c r="D101" s="1" t="s">
        <v>14</v>
      </c>
      <c r="E101" s="197">
        <v>1</v>
      </c>
      <c r="F101" s="7"/>
      <c r="G101" s="67">
        <f t="shared" ref="G101:G102" si="44">ROUND(E101*F101,0)</f>
        <v>0</v>
      </c>
      <c r="H101" s="202">
        <v>0</v>
      </c>
      <c r="I101" s="220">
        <f t="shared" si="42"/>
        <v>0</v>
      </c>
      <c r="J101" s="188">
        <v>0</v>
      </c>
      <c r="K101" s="221">
        <v>0</v>
      </c>
    </row>
    <row r="102" spans="2:11" x14ac:dyDescent="0.2">
      <c r="B102" s="31">
        <f t="shared" si="43"/>
        <v>6.3999999999999986</v>
      </c>
      <c r="C102" s="15" t="s">
        <v>82</v>
      </c>
      <c r="D102" s="1" t="s">
        <v>14</v>
      </c>
      <c r="E102" s="197">
        <v>1</v>
      </c>
      <c r="F102" s="7"/>
      <c r="G102" s="67">
        <f t="shared" si="44"/>
        <v>0</v>
      </c>
      <c r="H102" s="202">
        <v>0</v>
      </c>
      <c r="I102" s="220">
        <f t="shared" si="42"/>
        <v>0</v>
      </c>
      <c r="J102" s="188">
        <v>0</v>
      </c>
      <c r="K102" s="221">
        <v>0</v>
      </c>
    </row>
    <row r="103" spans="2:11" x14ac:dyDescent="0.2">
      <c r="B103" s="31"/>
      <c r="C103" s="18"/>
      <c r="D103" s="2"/>
      <c r="E103" s="2"/>
      <c r="F103" s="38" t="s">
        <v>85</v>
      </c>
      <c r="G103" s="101">
        <f>SUM(G99:G102)</f>
        <v>0</v>
      </c>
      <c r="H103" s="202"/>
      <c r="I103" s="222">
        <f>+SUM(I99:I102)</f>
        <v>0</v>
      </c>
      <c r="J103" s="188"/>
      <c r="K103" s="223">
        <f>+SUM(K99:K102)</f>
        <v>0</v>
      </c>
    </row>
    <row r="104" spans="2:11" x14ac:dyDescent="0.2">
      <c r="B104" s="29"/>
      <c r="C104" s="35"/>
      <c r="D104" s="293" t="s">
        <v>75</v>
      </c>
      <c r="E104" s="293"/>
      <c r="F104" s="293"/>
      <c r="G104" s="101">
        <f>G71+G79+G85+G92+G97+G103</f>
        <v>0</v>
      </c>
      <c r="H104" s="202"/>
      <c r="I104" s="210">
        <f>I71+I79+I85+I92+I97+I103</f>
        <v>0</v>
      </c>
      <c r="J104" s="188"/>
      <c r="K104" s="22">
        <f>+SUM(K103+K97+K92+K85+K79+K71)</f>
        <v>0</v>
      </c>
    </row>
    <row r="105" spans="2:11" ht="15.75" customHeight="1" x14ac:dyDescent="0.2">
      <c r="B105" s="29"/>
      <c r="C105" s="13"/>
      <c r="D105" s="302" t="s">
        <v>45</v>
      </c>
      <c r="E105" s="302"/>
      <c r="F105" s="34">
        <v>0.28000000000000003</v>
      </c>
      <c r="G105" s="67">
        <f>ROUND(G104*F105,0)</f>
        <v>0</v>
      </c>
      <c r="H105" s="202"/>
      <c r="I105" s="211">
        <f>ROUND(I104*F105,0)</f>
        <v>0</v>
      </c>
      <c r="J105" s="188"/>
      <c r="K105" s="5">
        <f>ROUND(K104*F105,0)</f>
        <v>0</v>
      </c>
    </row>
    <row r="106" spans="2:11" x14ac:dyDescent="0.2">
      <c r="B106" s="29"/>
      <c r="C106" s="13"/>
      <c r="D106" s="302" t="s">
        <v>46</v>
      </c>
      <c r="E106" s="302"/>
      <c r="F106" s="34">
        <v>0.02</v>
      </c>
      <c r="G106" s="67">
        <f>ROUND(G104*F106,0)</f>
        <v>0</v>
      </c>
      <c r="H106" s="202"/>
      <c r="I106" s="211">
        <f>ROUND(I104*F106,0)</f>
        <v>0</v>
      </c>
      <c r="J106" s="188"/>
      <c r="K106" s="5">
        <f>ROUND(K104*F106,0)</f>
        <v>0</v>
      </c>
    </row>
    <row r="107" spans="2:11" ht="13.5" thickBot="1" x14ac:dyDescent="0.25">
      <c r="B107" s="41"/>
      <c r="C107" s="42"/>
      <c r="D107" s="303" t="s">
        <v>47</v>
      </c>
      <c r="E107" s="303"/>
      <c r="F107" s="40">
        <v>0.05</v>
      </c>
      <c r="G107" s="120">
        <f>ROUND(G104*F107,0)</f>
        <v>0</v>
      </c>
      <c r="H107" s="212"/>
      <c r="I107" s="213">
        <f>ROUND(I104*F107,0)</f>
        <v>0</v>
      </c>
      <c r="J107" s="191"/>
      <c r="K107" s="5">
        <f>ROUND(K104*F107,0)</f>
        <v>0</v>
      </c>
    </row>
    <row r="108" spans="2:11" ht="13.5" thickBot="1" x14ac:dyDescent="0.25">
      <c r="B108" s="41"/>
      <c r="C108" s="43"/>
      <c r="D108" s="297" t="s">
        <v>79</v>
      </c>
      <c r="E108" s="298"/>
      <c r="F108" s="299"/>
      <c r="G108" s="121">
        <f>SUM(G104:G107)</f>
        <v>0</v>
      </c>
      <c r="H108" s="214"/>
      <c r="I108" s="215">
        <f>+SUM(I104:I107)</f>
        <v>0</v>
      </c>
      <c r="J108" s="192"/>
      <c r="K108" s="32">
        <f>+K104+K105+K106+K107</f>
        <v>0</v>
      </c>
    </row>
    <row r="109" spans="2:11" ht="20.25" customHeight="1" thickBot="1" x14ac:dyDescent="0.25">
      <c r="B109" s="300" t="s">
        <v>80</v>
      </c>
      <c r="C109" s="301"/>
      <c r="D109" s="301"/>
      <c r="E109" s="301"/>
      <c r="F109" s="301"/>
      <c r="G109" s="32">
        <f>G59+G108</f>
        <v>0</v>
      </c>
      <c r="H109" s="216"/>
      <c r="I109" s="217">
        <f>+I108+I59</f>
        <v>0</v>
      </c>
      <c r="J109" s="193"/>
      <c r="K109" s="218">
        <f>+K108+K59</f>
        <v>0</v>
      </c>
    </row>
  </sheetData>
  <mergeCells count="36">
    <mergeCell ref="D104:F104"/>
    <mergeCell ref="B61:C61"/>
    <mergeCell ref="D61:G61"/>
    <mergeCell ref="D108:F108"/>
    <mergeCell ref="B109:F109"/>
    <mergeCell ref="D105:E105"/>
    <mergeCell ref="D106:E106"/>
    <mergeCell ref="D107:E107"/>
    <mergeCell ref="B6:K6"/>
    <mergeCell ref="I7:K7"/>
    <mergeCell ref="I8:K8"/>
    <mergeCell ref="J15:K15"/>
    <mergeCell ref="H15:I15"/>
    <mergeCell ref="D15:G15"/>
    <mergeCell ref="B15:C15"/>
    <mergeCell ref="G7:H8"/>
    <mergeCell ref="G9:H9"/>
    <mergeCell ref="G10:H10"/>
    <mergeCell ref="G11:H12"/>
    <mergeCell ref="E7:F8"/>
    <mergeCell ref="E9:F9"/>
    <mergeCell ref="E10:F10"/>
    <mergeCell ref="E11:F12"/>
    <mergeCell ref="J61:K61"/>
    <mergeCell ref="B60:K60"/>
    <mergeCell ref="I9:I12"/>
    <mergeCell ref="B13:K13"/>
    <mergeCell ref="B14:K14"/>
    <mergeCell ref="B7:D12"/>
    <mergeCell ref="J9:K12"/>
    <mergeCell ref="D57:E57"/>
    <mergeCell ref="D55:F55"/>
    <mergeCell ref="D56:E56"/>
    <mergeCell ref="H61:I61"/>
    <mergeCell ref="D58:E58"/>
    <mergeCell ref="D59:F59"/>
  </mergeCells>
  <printOptions horizontalCentered="1"/>
  <pageMargins left="0.11811023622047245" right="0.11811023622047245" top="0.55118110236220474" bottom="0.55118110236220474" header="0" footer="0"/>
  <pageSetup scale="29" orientation="landscape" horizontalDpi="360" verticalDpi="360" r:id="rId1"/>
  <rowBreaks count="1" manualBreakCount="1">
    <brk id="5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P202"/>
  <sheetViews>
    <sheetView tabSelected="1" topLeftCell="A182" zoomScaleNormal="100" workbookViewId="0">
      <selection activeCell="U196" sqref="U196"/>
    </sheetView>
  </sheetViews>
  <sheetFormatPr baseColWidth="10" defaultRowHeight="15" x14ac:dyDescent="0.25"/>
  <cols>
    <col min="1" max="2" width="11.42578125" style="78"/>
    <col min="3" max="3" width="5.42578125" style="78" bestFit="1" customWidth="1"/>
    <col min="4" max="4" width="44.28515625" style="78" bestFit="1" customWidth="1"/>
    <col min="5" max="6" width="11.42578125" style="78"/>
    <col min="7" max="7" width="14.5703125" style="78" bestFit="1" customWidth="1"/>
    <col min="8" max="8" width="10.7109375" style="78" bestFit="1" customWidth="1"/>
    <col min="9" max="9" width="11.42578125" style="173"/>
    <col min="10" max="10" width="11.42578125" style="78"/>
    <col min="11" max="19" width="0" style="78" hidden="1" customWidth="1"/>
    <col min="20" max="16384" width="11.42578125" style="78"/>
  </cols>
  <sheetData>
    <row r="1" spans="3:14" ht="15.75" thickBot="1" x14ac:dyDescent="0.3"/>
    <row r="2" spans="3:14" ht="15.75" thickBot="1" x14ac:dyDescent="0.3">
      <c r="C2" s="304" t="s">
        <v>98</v>
      </c>
      <c r="D2" s="305"/>
      <c r="E2" s="305"/>
      <c r="F2" s="305"/>
      <c r="G2" s="305"/>
      <c r="H2" s="305"/>
      <c r="I2" s="306"/>
    </row>
    <row r="3" spans="3:14" x14ac:dyDescent="0.25">
      <c r="C3" s="60" t="s">
        <v>0</v>
      </c>
      <c r="D3" s="39" t="s">
        <v>1</v>
      </c>
      <c r="E3" s="79"/>
      <c r="F3" s="79"/>
      <c r="G3" s="79"/>
      <c r="H3" s="79"/>
      <c r="I3" s="172"/>
    </row>
    <row r="4" spans="3:14" ht="15.75" thickBot="1" x14ac:dyDescent="0.3">
      <c r="C4" s="61">
        <v>1</v>
      </c>
      <c r="D4" s="53" t="s">
        <v>6</v>
      </c>
      <c r="E4" s="85" t="s">
        <v>89</v>
      </c>
      <c r="F4" s="85" t="s">
        <v>90</v>
      </c>
      <c r="G4" s="85" t="s">
        <v>91</v>
      </c>
      <c r="H4" s="85" t="s">
        <v>3</v>
      </c>
      <c r="I4" s="174" t="s">
        <v>92</v>
      </c>
    </row>
    <row r="5" spans="3:14" ht="15.75" thickBot="1" x14ac:dyDescent="0.3">
      <c r="C5" s="51">
        <f>C4+0.1</f>
        <v>1.1000000000000001</v>
      </c>
      <c r="D5" s="52" t="s">
        <v>7</v>
      </c>
      <c r="E5" s="80"/>
      <c r="F5" s="80"/>
      <c r="G5" s="80"/>
      <c r="H5" s="80"/>
      <c r="I5" s="175"/>
    </row>
    <row r="6" spans="3:14" x14ac:dyDescent="0.25">
      <c r="C6" s="46"/>
      <c r="D6" s="47" t="s">
        <v>94</v>
      </c>
      <c r="E6" s="81">
        <v>1.7</v>
      </c>
      <c r="F6" s="81">
        <v>1.7</v>
      </c>
      <c r="G6" s="81"/>
      <c r="H6" s="81"/>
      <c r="I6" s="176"/>
      <c r="M6" s="78">
        <f>76.4-53.9</f>
        <v>22.500000000000007</v>
      </c>
    </row>
    <row r="7" spans="3:14" x14ac:dyDescent="0.25">
      <c r="C7" s="12"/>
      <c r="D7" s="13" t="s">
        <v>95</v>
      </c>
      <c r="E7" s="77">
        <v>14</v>
      </c>
      <c r="F7" s="77">
        <v>3.35</v>
      </c>
      <c r="G7" s="77"/>
      <c r="H7" s="77"/>
      <c r="I7" s="165"/>
      <c r="K7" s="78">
        <f>53.9+34</f>
        <v>87.9</v>
      </c>
      <c r="M7" s="78">
        <f>76.4-53.9</f>
        <v>22.500000000000007</v>
      </c>
    </row>
    <row r="8" spans="3:14" x14ac:dyDescent="0.25">
      <c r="C8" s="12"/>
      <c r="D8" s="13" t="s">
        <v>96</v>
      </c>
      <c r="E8" s="77">
        <v>6.3</v>
      </c>
      <c r="F8" s="77">
        <v>6.5</v>
      </c>
      <c r="G8" s="77"/>
      <c r="H8" s="77"/>
      <c r="I8" s="165"/>
    </row>
    <row r="9" spans="3:14" x14ac:dyDescent="0.25">
      <c r="C9" s="12"/>
      <c r="D9" s="13" t="s">
        <v>97</v>
      </c>
      <c r="E9" s="77">
        <v>6.8</v>
      </c>
      <c r="F9" s="77">
        <v>7.1</v>
      </c>
      <c r="G9" s="77"/>
      <c r="H9" s="77"/>
      <c r="I9" s="165"/>
    </row>
    <row r="10" spans="3:14" ht="15.75" thickBot="1" x14ac:dyDescent="0.3">
      <c r="C10" s="63"/>
      <c r="D10" s="13" t="s">
        <v>130</v>
      </c>
      <c r="E10" s="82">
        <v>11.26</v>
      </c>
      <c r="F10" s="82">
        <v>6.67</v>
      </c>
      <c r="G10" s="82"/>
      <c r="H10" s="82"/>
      <c r="I10" s="177"/>
    </row>
    <row r="11" spans="3:14" ht="15.75" thickBot="1" x14ac:dyDescent="0.3">
      <c r="C11" s="51">
        <f>C5+0.1</f>
        <v>1.2000000000000002</v>
      </c>
      <c r="D11" s="52" t="s">
        <v>9</v>
      </c>
      <c r="E11" s="75"/>
      <c r="F11" s="75"/>
      <c r="G11" s="75"/>
      <c r="H11" s="75"/>
      <c r="I11" s="175"/>
      <c r="M11" s="78">
        <v>414</v>
      </c>
      <c r="N11" s="78">
        <f>+M11/76.4</f>
        <v>5.4188481675392666</v>
      </c>
    </row>
    <row r="12" spans="3:14" ht="15.75" thickBot="1" x14ac:dyDescent="0.3">
      <c r="C12" s="51">
        <f>C11+0.1</f>
        <v>1.3000000000000003</v>
      </c>
      <c r="D12" s="52" t="s">
        <v>11</v>
      </c>
      <c r="E12" s="75"/>
      <c r="F12" s="75"/>
      <c r="G12" s="75"/>
      <c r="H12" s="75"/>
      <c r="I12" s="175"/>
    </row>
    <row r="13" spans="3:14" x14ac:dyDescent="0.25">
      <c r="C13" s="46"/>
      <c r="D13" s="47" t="s">
        <v>131</v>
      </c>
      <c r="E13" s="81">
        <v>42</v>
      </c>
      <c r="F13" s="81"/>
      <c r="G13" s="81"/>
      <c r="H13" s="81">
        <v>2</v>
      </c>
      <c r="I13" s="176"/>
      <c r="N13" s="78">
        <f>5.42*76.4</f>
        <v>414.08800000000002</v>
      </c>
    </row>
    <row r="14" spans="3:14" ht="15.75" thickBot="1" x14ac:dyDescent="0.3">
      <c r="C14" s="62"/>
      <c r="D14" s="42" t="s">
        <v>93</v>
      </c>
      <c r="E14" s="84">
        <v>6.75</v>
      </c>
      <c r="F14" s="84"/>
      <c r="G14" s="84"/>
      <c r="H14" s="84">
        <v>2</v>
      </c>
      <c r="I14" s="178"/>
    </row>
    <row r="15" spans="3:14" ht="15.75" thickBot="1" x14ac:dyDescent="0.3">
      <c r="C15" s="51">
        <f>C12+0.1</f>
        <v>1.4000000000000004</v>
      </c>
      <c r="D15" s="52" t="s">
        <v>12</v>
      </c>
      <c r="E15" s="75"/>
      <c r="F15" s="75"/>
      <c r="G15" s="75"/>
      <c r="H15" s="75"/>
      <c r="I15" s="175"/>
    </row>
    <row r="16" spans="3:14" x14ac:dyDescent="0.25">
      <c r="C16" s="46"/>
      <c r="D16" s="47" t="s">
        <v>131</v>
      </c>
      <c r="E16" s="81">
        <v>42</v>
      </c>
      <c r="F16" s="81"/>
      <c r="G16" s="81"/>
      <c r="H16" s="81">
        <v>2</v>
      </c>
      <c r="I16" s="176"/>
    </row>
    <row r="17" spans="3:16" ht="15.75" thickBot="1" x14ac:dyDescent="0.3">
      <c r="C17" s="12"/>
      <c r="D17" s="13" t="s">
        <v>93</v>
      </c>
      <c r="E17" s="77">
        <v>6.75</v>
      </c>
      <c r="F17" s="77"/>
      <c r="G17" s="77"/>
      <c r="H17" s="77">
        <v>2</v>
      </c>
      <c r="I17" s="165"/>
      <c r="K17" s="78">
        <v>76.400000000000006</v>
      </c>
      <c r="L17" s="78">
        <v>76.400000000000006</v>
      </c>
      <c r="M17" s="78">
        <v>7</v>
      </c>
      <c r="N17" s="78">
        <v>7</v>
      </c>
    </row>
    <row r="18" spans="3:16" ht="15.75" hidden="1" thickBot="1" x14ac:dyDescent="0.3">
      <c r="C18" s="62">
        <f>C15+0.1</f>
        <v>1.5000000000000004</v>
      </c>
      <c r="D18" s="42" t="s">
        <v>13</v>
      </c>
      <c r="E18" s="84"/>
      <c r="F18" s="84"/>
      <c r="G18" s="84"/>
      <c r="H18" s="84"/>
      <c r="I18" s="178"/>
    </row>
    <row r="19" spans="3:16" ht="15.75" thickBot="1" x14ac:dyDescent="0.3">
      <c r="C19" s="51">
        <f t="shared" ref="C19" si="0">C18+0.1</f>
        <v>1.6000000000000005</v>
      </c>
      <c r="D19" s="52" t="s">
        <v>15</v>
      </c>
      <c r="E19" s="75"/>
      <c r="F19" s="75"/>
      <c r="G19" s="75"/>
      <c r="H19" s="75"/>
      <c r="I19" s="175"/>
    </row>
    <row r="20" spans="3:16" x14ac:dyDescent="0.25">
      <c r="C20" s="46"/>
      <c r="D20" s="47" t="s">
        <v>94</v>
      </c>
      <c r="E20" s="81">
        <v>1.7</v>
      </c>
      <c r="F20" s="81">
        <v>1.7</v>
      </c>
      <c r="G20" s="81"/>
      <c r="H20" s="81"/>
      <c r="I20" s="176"/>
    </row>
    <row r="21" spans="3:16" x14ac:dyDescent="0.25">
      <c r="C21" s="12"/>
      <c r="D21" s="13" t="s">
        <v>95</v>
      </c>
      <c r="E21" s="77">
        <v>14</v>
      </c>
      <c r="F21" s="77">
        <v>3.35</v>
      </c>
      <c r="G21" s="77"/>
      <c r="H21" s="77"/>
      <c r="I21" s="165"/>
    </row>
    <row r="22" spans="3:16" x14ac:dyDescent="0.25">
      <c r="C22" s="12"/>
      <c r="D22" s="13" t="s">
        <v>96</v>
      </c>
      <c r="E22" s="77">
        <v>6.3</v>
      </c>
      <c r="F22" s="77">
        <v>6.5</v>
      </c>
      <c r="G22" s="77"/>
      <c r="H22" s="77"/>
      <c r="I22" s="105"/>
    </row>
    <row r="23" spans="3:16" x14ac:dyDescent="0.25">
      <c r="C23" s="62"/>
      <c r="D23" s="13" t="s">
        <v>97</v>
      </c>
      <c r="E23" s="77">
        <v>6.8</v>
      </c>
      <c r="F23" s="77">
        <v>7.1</v>
      </c>
      <c r="G23" s="77"/>
      <c r="H23" s="77"/>
      <c r="I23" s="105"/>
    </row>
    <row r="24" spans="3:16" x14ac:dyDescent="0.25">
      <c r="C24" s="63"/>
      <c r="D24" s="13" t="s">
        <v>99</v>
      </c>
      <c r="E24" s="77">
        <v>20.7</v>
      </c>
      <c r="F24" s="77">
        <f>+AVERAGE(6.82,6.82,6.45,6.6)</f>
        <v>6.6724999999999994</v>
      </c>
      <c r="G24" s="77"/>
      <c r="H24" s="77"/>
      <c r="I24" s="105"/>
    </row>
    <row r="25" spans="3:16" x14ac:dyDescent="0.25">
      <c r="C25" s="63"/>
      <c r="D25" s="13" t="s">
        <v>100</v>
      </c>
      <c r="E25" s="77">
        <f>53.9-49.5</f>
        <v>4.3999999999999986</v>
      </c>
      <c r="F25" s="77">
        <v>5.6</v>
      </c>
      <c r="G25" s="77"/>
      <c r="H25" s="77"/>
      <c r="I25" s="105"/>
      <c r="N25" s="78">
        <f>6-0.8</f>
        <v>5.2</v>
      </c>
      <c r="O25" s="78">
        <v>1</v>
      </c>
      <c r="P25" s="78">
        <v>1</v>
      </c>
    </row>
    <row r="26" spans="3:16" ht="15.75" thickBot="1" x14ac:dyDescent="0.3">
      <c r="C26" s="63"/>
      <c r="D26" s="42" t="s">
        <v>101</v>
      </c>
      <c r="E26" s="84">
        <v>22.5</v>
      </c>
      <c r="F26" s="84">
        <f>+AVERAGE(3.47,3.4,5.15,4.37,3.76,3.52,3.62)</f>
        <v>3.8985714285714286</v>
      </c>
      <c r="G26" s="84"/>
      <c r="H26" s="84"/>
      <c r="I26" s="137"/>
      <c r="M26" s="78">
        <f>+N25+N26</f>
        <v>11.01</v>
      </c>
      <c r="N26" s="78">
        <f>6-0.19</f>
        <v>5.81</v>
      </c>
      <c r="O26" s="78">
        <v>2</v>
      </c>
      <c r="P26" s="78">
        <v>1</v>
      </c>
    </row>
    <row r="27" spans="3:16" ht="26.25" thickBot="1" x14ac:dyDescent="0.3">
      <c r="C27" s="51">
        <f>C19+0.1</f>
        <v>1.7000000000000006</v>
      </c>
      <c r="D27" s="55" t="s">
        <v>17</v>
      </c>
      <c r="E27" s="75"/>
      <c r="F27" s="75"/>
      <c r="G27" s="75"/>
      <c r="H27" s="75"/>
      <c r="I27" s="175"/>
      <c r="M27" s="78">
        <f>+M26+N27</f>
        <v>16.82</v>
      </c>
      <c r="N27" s="78">
        <v>5.81</v>
      </c>
      <c r="O27" s="78">
        <v>3</v>
      </c>
      <c r="P27" s="78">
        <v>1</v>
      </c>
    </row>
    <row r="28" spans="3:16" x14ac:dyDescent="0.25">
      <c r="C28" s="46"/>
      <c r="D28" s="54" t="s">
        <v>132</v>
      </c>
      <c r="E28" s="81">
        <v>1.1000000000000001</v>
      </c>
      <c r="F28" s="81">
        <v>0.8</v>
      </c>
      <c r="G28" s="81"/>
      <c r="H28" s="81">
        <v>10</v>
      </c>
      <c r="I28" s="176"/>
      <c r="M28" s="78">
        <f>+M27+N28</f>
        <v>22.63</v>
      </c>
      <c r="N28" s="78">
        <v>5.81</v>
      </c>
      <c r="O28" s="78">
        <v>4</v>
      </c>
      <c r="P28" s="78">
        <v>3</v>
      </c>
    </row>
    <row r="29" spans="3:16" ht="15.75" thickBot="1" x14ac:dyDescent="0.3">
      <c r="C29" s="64">
        <v>2</v>
      </c>
      <c r="D29" s="56" t="s">
        <v>19</v>
      </c>
      <c r="E29" s="84"/>
      <c r="F29" s="84"/>
      <c r="G29" s="84"/>
      <c r="H29" s="84"/>
      <c r="I29" s="178"/>
      <c r="M29" s="78">
        <f>+M28+N29</f>
        <v>28.439999999999998</v>
      </c>
      <c r="N29" s="78">
        <v>5.81</v>
      </c>
      <c r="O29" s="78">
        <v>5</v>
      </c>
      <c r="P29" s="78">
        <v>1</v>
      </c>
    </row>
    <row r="30" spans="3:16" ht="26.25" thickBot="1" x14ac:dyDescent="0.3">
      <c r="C30" s="51">
        <f>C29+0.1</f>
        <v>2.1</v>
      </c>
      <c r="D30" s="55" t="s">
        <v>20</v>
      </c>
      <c r="E30" s="75"/>
      <c r="F30" s="75"/>
      <c r="G30" s="75"/>
      <c r="H30" s="75"/>
      <c r="I30" s="175"/>
      <c r="M30" s="78">
        <f>+M29+N30</f>
        <v>34.25</v>
      </c>
      <c r="N30" s="78">
        <v>5.81</v>
      </c>
      <c r="O30" s="78">
        <v>6</v>
      </c>
      <c r="P30" s="78">
        <v>1</v>
      </c>
    </row>
    <row r="31" spans="3:16" x14ac:dyDescent="0.25">
      <c r="C31" s="46"/>
      <c r="D31" s="57" t="s">
        <v>102</v>
      </c>
      <c r="E31" s="81">
        <v>1.1000000000000001</v>
      </c>
      <c r="F31" s="81">
        <v>0.8</v>
      </c>
      <c r="G31" s="81">
        <f>1.75-0.1</f>
        <v>1.65</v>
      </c>
      <c r="H31" s="81">
        <v>3</v>
      </c>
      <c r="I31" s="176"/>
      <c r="M31" s="78">
        <f>+M30+N31</f>
        <v>40.06</v>
      </c>
      <c r="N31" s="78">
        <v>5.81</v>
      </c>
      <c r="O31" s="78">
        <v>7</v>
      </c>
      <c r="P31" s="78">
        <v>2</v>
      </c>
    </row>
    <row r="32" spans="3:16" x14ac:dyDescent="0.25">
      <c r="C32" s="12"/>
      <c r="D32" s="15" t="s">
        <v>103</v>
      </c>
      <c r="E32" s="77">
        <v>1.1000000000000001</v>
      </c>
      <c r="F32" s="77">
        <v>0.8</v>
      </c>
      <c r="G32" s="77">
        <f>2-0.1</f>
        <v>1.9</v>
      </c>
      <c r="H32" s="77">
        <v>1</v>
      </c>
      <c r="I32" s="165"/>
    </row>
    <row r="33" spans="3:15" x14ac:dyDescent="0.25">
      <c r="C33" s="12"/>
      <c r="D33" s="15" t="s">
        <v>104</v>
      </c>
      <c r="E33" s="77">
        <v>1.1000000000000001</v>
      </c>
      <c r="F33" s="77">
        <v>0.8</v>
      </c>
      <c r="G33" s="77">
        <f>1-0.1</f>
        <v>0.9</v>
      </c>
      <c r="H33" s="77">
        <v>1</v>
      </c>
      <c r="I33" s="165"/>
    </row>
    <row r="34" spans="3:15" x14ac:dyDescent="0.25">
      <c r="C34" s="12"/>
      <c r="D34" s="15" t="s">
        <v>105</v>
      </c>
      <c r="E34" s="77">
        <v>1.1000000000000001</v>
      </c>
      <c r="F34" s="77">
        <v>0.8</v>
      </c>
      <c r="G34" s="77">
        <f>1.6-0.1</f>
        <v>1.5</v>
      </c>
      <c r="H34" s="77">
        <v>3</v>
      </c>
      <c r="I34" s="165"/>
      <c r="K34" s="78">
        <f>6*2.54</f>
        <v>15.24</v>
      </c>
      <c r="L34" s="78">
        <v>60</v>
      </c>
      <c r="M34" s="78">
        <f>+L34+K34</f>
        <v>75.239999999999995</v>
      </c>
    </row>
    <row r="35" spans="3:15" x14ac:dyDescent="0.25">
      <c r="C35" s="12"/>
      <c r="D35" s="15" t="s">
        <v>133</v>
      </c>
      <c r="E35" s="77">
        <v>1.1000000000000001</v>
      </c>
      <c r="F35" s="77">
        <v>0.8</v>
      </c>
      <c r="G35" s="77">
        <f>1.5-0.1</f>
        <v>1.4</v>
      </c>
      <c r="H35" s="77">
        <v>2</v>
      </c>
      <c r="I35" s="165"/>
    </row>
    <row r="36" spans="3:15" x14ac:dyDescent="0.25">
      <c r="C36" s="12"/>
      <c r="D36" s="15" t="s">
        <v>135</v>
      </c>
      <c r="E36" s="77">
        <v>2.8</v>
      </c>
      <c r="F36" s="77">
        <v>0.75</v>
      </c>
      <c r="G36" s="77">
        <f>+ROUND((1.45+2.2+2.75)/3,2)</f>
        <v>2.13</v>
      </c>
      <c r="H36" s="77">
        <v>1</v>
      </c>
      <c r="I36" s="165"/>
    </row>
    <row r="37" spans="3:15" x14ac:dyDescent="0.25">
      <c r="C37" s="12"/>
      <c r="D37" s="15" t="s">
        <v>134</v>
      </c>
      <c r="E37" s="77">
        <v>3.5</v>
      </c>
      <c r="F37" s="77">
        <v>0.75</v>
      </c>
      <c r="G37" s="77">
        <f>+ROUND((1.45+2.2+2.75)/3,2)</f>
        <v>2.13</v>
      </c>
      <c r="H37" s="77">
        <v>1</v>
      </c>
      <c r="I37" s="165"/>
    </row>
    <row r="38" spans="3:15" x14ac:dyDescent="0.25">
      <c r="C38" s="12"/>
      <c r="D38" s="15" t="s">
        <v>108</v>
      </c>
      <c r="E38" s="77">
        <v>2.1</v>
      </c>
      <c r="F38" s="77">
        <v>0.75</v>
      </c>
      <c r="G38" s="77">
        <f>+ROUND((1.7+2+2.3)/3,2)</f>
        <v>2</v>
      </c>
      <c r="H38" s="77">
        <v>1</v>
      </c>
      <c r="I38" s="165"/>
      <c r="O38" s="78">
        <v>2.2999999999999998</v>
      </c>
    </row>
    <row r="39" spans="3:15" x14ac:dyDescent="0.25">
      <c r="C39" s="12"/>
      <c r="D39" s="15" t="s">
        <v>109</v>
      </c>
      <c r="E39" s="77">
        <v>2.1</v>
      </c>
      <c r="F39" s="77">
        <v>0.75</v>
      </c>
      <c r="G39" s="77">
        <f>+ROUND((1.7+2.1+2.6)/3,2)</f>
        <v>2.13</v>
      </c>
      <c r="H39" s="77">
        <v>1</v>
      </c>
      <c r="I39" s="165"/>
      <c r="M39" s="78">
        <f>+(2.54*12)/100</f>
        <v>0.30480000000000002</v>
      </c>
      <c r="O39" s="78">
        <v>2.6</v>
      </c>
    </row>
    <row r="40" spans="3:15" x14ac:dyDescent="0.25">
      <c r="C40" s="12"/>
      <c r="D40" s="15" t="s">
        <v>106</v>
      </c>
      <c r="E40" s="77">
        <v>2.5</v>
      </c>
      <c r="F40" s="77">
        <v>0.75</v>
      </c>
      <c r="G40" s="77">
        <f>+ROUND((1.7+2.3+2.72)/3,2)</f>
        <v>2.2400000000000002</v>
      </c>
      <c r="H40" s="77">
        <v>1</v>
      </c>
      <c r="I40" s="165"/>
      <c r="M40" s="78">
        <v>0.05</v>
      </c>
      <c r="O40" s="78">
        <v>2.72</v>
      </c>
    </row>
    <row r="41" spans="3:15" x14ac:dyDescent="0.25">
      <c r="C41" s="12"/>
      <c r="D41" s="15" t="s">
        <v>107</v>
      </c>
      <c r="E41" s="77">
        <v>3.2</v>
      </c>
      <c r="F41" s="77">
        <v>0.75</v>
      </c>
      <c r="G41" s="77">
        <f>+ROUND((1.95+2.3+2.85)/3,2)</f>
        <v>2.37</v>
      </c>
      <c r="H41" s="77">
        <v>1</v>
      </c>
      <c r="I41" s="165"/>
      <c r="M41" s="78">
        <v>2.5</v>
      </c>
      <c r="O41" s="78">
        <v>2.85</v>
      </c>
    </row>
    <row r="42" spans="3:15" x14ac:dyDescent="0.25">
      <c r="C42" s="12"/>
      <c r="D42" s="15" t="s">
        <v>110</v>
      </c>
      <c r="E42" s="77">
        <v>3</v>
      </c>
      <c r="F42" s="77">
        <v>0.75</v>
      </c>
      <c r="G42" s="77">
        <f>+ROUND((0.95+2.3+2.85)/3,2)</f>
        <v>2.0299999999999998</v>
      </c>
      <c r="H42" s="77">
        <v>1</v>
      </c>
      <c r="I42" s="165"/>
      <c r="M42" s="78" t="s">
        <v>121</v>
      </c>
      <c r="N42" s="78">
        <f>+(6*2.54)+60</f>
        <v>75.239999999999995</v>
      </c>
    </row>
    <row r="43" spans="3:15" x14ac:dyDescent="0.25">
      <c r="C43" s="12"/>
      <c r="D43" s="15" t="s">
        <v>111</v>
      </c>
      <c r="E43" s="77">
        <v>3.1</v>
      </c>
      <c r="F43" s="77">
        <v>0.75</v>
      </c>
      <c r="G43" s="77">
        <f>+ROUND((1.55+2.3+2.85)/3,2)</f>
        <v>2.23</v>
      </c>
      <c r="H43" s="77">
        <v>1</v>
      </c>
      <c r="I43" s="165"/>
    </row>
    <row r="44" spans="3:15" x14ac:dyDescent="0.25">
      <c r="C44" s="12"/>
      <c r="D44" s="15" t="s">
        <v>112</v>
      </c>
      <c r="E44" s="77">
        <v>4.2</v>
      </c>
      <c r="F44" s="77">
        <v>0.75</v>
      </c>
      <c r="G44" s="77">
        <f>+ROUND((1.55+2.3+2.85)/3,2)</f>
        <v>2.23</v>
      </c>
      <c r="H44" s="77">
        <v>1</v>
      </c>
      <c r="I44" s="165"/>
    </row>
    <row r="45" spans="3:15" x14ac:dyDescent="0.25">
      <c r="C45" s="62"/>
      <c r="D45" s="15" t="s">
        <v>114</v>
      </c>
      <c r="E45" s="77">
        <f>(2.5+2.8)/2</f>
        <v>2.65</v>
      </c>
      <c r="F45" s="77">
        <v>0.75</v>
      </c>
      <c r="G45" s="77">
        <f>+ROUND((1.55+2.3+2.85)/3,2)</f>
        <v>2.23</v>
      </c>
      <c r="H45" s="77">
        <v>1</v>
      </c>
      <c r="I45" s="165"/>
    </row>
    <row r="46" spans="3:15" x14ac:dyDescent="0.25">
      <c r="C46" s="63"/>
      <c r="D46" s="15" t="s">
        <v>115</v>
      </c>
      <c r="E46" s="77">
        <v>5.2</v>
      </c>
      <c r="F46" s="77">
        <v>0.9</v>
      </c>
      <c r="G46" s="77">
        <v>1.5</v>
      </c>
      <c r="H46" s="77"/>
      <c r="I46" s="165"/>
    </row>
    <row r="47" spans="3:15" x14ac:dyDescent="0.25">
      <c r="C47" s="63"/>
      <c r="D47" s="15" t="s">
        <v>116</v>
      </c>
      <c r="E47" s="77">
        <v>5.81</v>
      </c>
      <c r="F47" s="77">
        <v>1.37</v>
      </c>
      <c r="G47" s="81">
        <v>1.5</v>
      </c>
      <c r="H47" s="77"/>
      <c r="I47" s="165"/>
    </row>
    <row r="48" spans="3:15" x14ac:dyDescent="0.25">
      <c r="C48" s="63"/>
      <c r="D48" s="15" t="s">
        <v>117</v>
      </c>
      <c r="E48" s="77">
        <v>5.81</v>
      </c>
      <c r="F48" s="77">
        <v>1.3</v>
      </c>
      <c r="G48" s="81">
        <v>1.5</v>
      </c>
      <c r="H48" s="77"/>
      <c r="I48" s="165"/>
    </row>
    <row r="49" spans="3:15" x14ac:dyDescent="0.25">
      <c r="C49" s="63"/>
      <c r="D49" s="15" t="s">
        <v>118</v>
      </c>
      <c r="E49" s="77">
        <v>5.81</v>
      </c>
      <c r="F49" s="77">
        <v>1.1000000000000001</v>
      </c>
      <c r="G49" s="81">
        <v>1.5</v>
      </c>
      <c r="H49" s="77"/>
      <c r="I49" s="165"/>
    </row>
    <row r="50" spans="3:15" x14ac:dyDescent="0.25">
      <c r="C50" s="63"/>
      <c r="D50" s="15" t="s">
        <v>119</v>
      </c>
      <c r="E50" s="77">
        <v>5.81</v>
      </c>
      <c r="F50" s="77">
        <v>1.1000000000000001</v>
      </c>
      <c r="G50" s="81">
        <v>1.5</v>
      </c>
      <c r="H50" s="77"/>
      <c r="I50" s="165"/>
      <c r="N50" s="78">
        <f>1.6+2.85</f>
        <v>4.45</v>
      </c>
      <c r="O50" s="78">
        <f>+N50/2</f>
        <v>2.2250000000000001</v>
      </c>
    </row>
    <row r="51" spans="3:15" x14ac:dyDescent="0.25">
      <c r="C51" s="63"/>
      <c r="D51" s="15" t="s">
        <v>120</v>
      </c>
      <c r="E51" s="77">
        <v>5.81</v>
      </c>
      <c r="F51" s="77">
        <v>1.1000000000000001</v>
      </c>
      <c r="G51" s="81">
        <v>1.5</v>
      </c>
      <c r="H51" s="77"/>
      <c r="I51" s="165"/>
    </row>
    <row r="52" spans="3:15" ht="15.75" thickBot="1" x14ac:dyDescent="0.3">
      <c r="C52" s="63"/>
      <c r="D52" s="15" t="s">
        <v>136</v>
      </c>
      <c r="E52" s="82">
        <v>5.81</v>
      </c>
      <c r="F52" s="82">
        <v>1.1000000000000001</v>
      </c>
      <c r="G52" s="82">
        <v>1.5</v>
      </c>
      <c r="H52" s="82"/>
      <c r="I52" s="177"/>
    </row>
    <row r="53" spans="3:15" ht="26.25" thickBot="1" x14ac:dyDescent="0.3">
      <c r="C53" s="51">
        <f>C30+0.1</f>
        <v>2.2000000000000002</v>
      </c>
      <c r="D53" s="55" t="s">
        <v>22</v>
      </c>
      <c r="E53" s="91"/>
      <c r="F53" s="91"/>
      <c r="G53" s="91"/>
      <c r="H53" s="91"/>
      <c r="I53" s="175"/>
    </row>
    <row r="54" spans="3:15" x14ac:dyDescent="0.25">
      <c r="C54" s="46"/>
      <c r="D54" s="57" t="s">
        <v>115</v>
      </c>
      <c r="E54" s="81">
        <v>5.2</v>
      </c>
      <c r="F54" s="81">
        <v>0.9</v>
      </c>
      <c r="G54" s="81">
        <f t="shared" ref="G54:G60" si="1">+G124-G46</f>
        <v>0.79999999999999982</v>
      </c>
      <c r="H54" s="81"/>
      <c r="I54" s="176"/>
    </row>
    <row r="55" spans="3:15" x14ac:dyDescent="0.25">
      <c r="C55" s="12"/>
      <c r="D55" s="15" t="s">
        <v>116</v>
      </c>
      <c r="E55" s="77">
        <v>5.81</v>
      </c>
      <c r="F55" s="77">
        <v>1.37</v>
      </c>
      <c r="G55" s="77">
        <f t="shared" si="1"/>
        <v>1.1000000000000001</v>
      </c>
      <c r="H55" s="77"/>
      <c r="I55" s="165"/>
    </row>
    <row r="56" spans="3:15" x14ac:dyDescent="0.25">
      <c r="C56" s="12"/>
      <c r="D56" s="15" t="s">
        <v>117</v>
      </c>
      <c r="E56" s="77">
        <v>5.81</v>
      </c>
      <c r="F56" s="77">
        <v>1.3</v>
      </c>
      <c r="G56" s="77">
        <f t="shared" si="1"/>
        <v>1.2199999999999998</v>
      </c>
      <c r="H56" s="77"/>
      <c r="I56" s="165"/>
    </row>
    <row r="57" spans="3:15" x14ac:dyDescent="0.25">
      <c r="C57" s="12"/>
      <c r="D57" s="15" t="s">
        <v>118</v>
      </c>
      <c r="E57" s="77">
        <v>5.81</v>
      </c>
      <c r="F57" s="77">
        <v>1.1000000000000001</v>
      </c>
      <c r="G57" s="77">
        <f t="shared" si="1"/>
        <v>1.35</v>
      </c>
      <c r="H57" s="77"/>
      <c r="I57" s="165"/>
    </row>
    <row r="58" spans="3:15" x14ac:dyDescent="0.25">
      <c r="C58" s="12"/>
      <c r="D58" s="15" t="s">
        <v>119</v>
      </c>
      <c r="E58" s="77">
        <v>5.81</v>
      </c>
      <c r="F58" s="77">
        <v>1.1000000000000001</v>
      </c>
      <c r="G58" s="77">
        <f t="shared" si="1"/>
        <v>1.35</v>
      </c>
      <c r="H58" s="77"/>
      <c r="I58" s="165"/>
    </row>
    <row r="59" spans="3:15" x14ac:dyDescent="0.25">
      <c r="C59" s="62"/>
      <c r="D59" s="72" t="s">
        <v>120</v>
      </c>
      <c r="E59" s="77">
        <v>5.81</v>
      </c>
      <c r="F59" s="77">
        <v>1.1000000000000001</v>
      </c>
      <c r="G59" s="77">
        <f t="shared" si="1"/>
        <v>1.35</v>
      </c>
      <c r="H59" s="77"/>
      <c r="I59" s="165"/>
    </row>
    <row r="60" spans="3:15" ht="15.75" thickBot="1" x14ac:dyDescent="0.3">
      <c r="C60" s="63"/>
      <c r="D60" s="72" t="s">
        <v>136</v>
      </c>
      <c r="E60" s="82">
        <v>5.81</v>
      </c>
      <c r="F60" s="82">
        <v>1.1000000000000001</v>
      </c>
      <c r="G60" s="84">
        <f t="shared" si="1"/>
        <v>1.25</v>
      </c>
      <c r="H60" s="82"/>
      <c r="I60" s="177"/>
    </row>
    <row r="61" spans="3:15" ht="15.75" thickBot="1" x14ac:dyDescent="0.3">
      <c r="C61" s="51">
        <f>C53+0.1</f>
        <v>2.3000000000000003</v>
      </c>
      <c r="D61" s="55" t="s">
        <v>23</v>
      </c>
      <c r="E61" s="75"/>
      <c r="F61" s="75"/>
      <c r="G61" s="75"/>
      <c r="H61" s="75"/>
      <c r="I61" s="175"/>
    </row>
    <row r="62" spans="3:15" x14ac:dyDescent="0.25">
      <c r="C62" s="46"/>
      <c r="D62" s="57" t="s">
        <v>102</v>
      </c>
      <c r="E62" s="81">
        <v>1.1000000000000001</v>
      </c>
      <c r="F62" s="81">
        <v>0.8</v>
      </c>
      <c r="G62" s="81">
        <f>+G31-0.58</f>
        <v>1.0699999999999998</v>
      </c>
      <c r="H62" s="81">
        <v>3</v>
      </c>
      <c r="I62" s="176"/>
    </row>
    <row r="63" spans="3:15" x14ac:dyDescent="0.25">
      <c r="C63" s="12"/>
      <c r="D63" s="15" t="s">
        <v>103</v>
      </c>
      <c r="E63" s="77">
        <v>1.1000000000000001</v>
      </c>
      <c r="F63" s="77">
        <v>0.8</v>
      </c>
      <c r="G63" s="81">
        <f>+G32-0.58</f>
        <v>1.3199999999999998</v>
      </c>
      <c r="H63" s="77">
        <v>1</v>
      </c>
      <c r="I63" s="165"/>
    </row>
    <row r="64" spans="3:15" x14ac:dyDescent="0.25">
      <c r="C64" s="12"/>
      <c r="D64" s="15" t="s">
        <v>104</v>
      </c>
      <c r="E64" s="77">
        <v>1.1000000000000001</v>
      </c>
      <c r="F64" s="77">
        <v>0.8</v>
      </c>
      <c r="G64" s="81">
        <f>+G33-0.58</f>
        <v>0.32000000000000006</v>
      </c>
      <c r="H64" s="77">
        <v>1</v>
      </c>
      <c r="I64" s="165"/>
    </row>
    <row r="65" spans="3:11" ht="15.75" thickBot="1" x14ac:dyDescent="0.3">
      <c r="C65" s="62"/>
      <c r="D65" s="72" t="s">
        <v>105</v>
      </c>
      <c r="E65" s="84">
        <v>1.1000000000000001</v>
      </c>
      <c r="F65" s="84">
        <v>0.8</v>
      </c>
      <c r="G65" s="81">
        <f>+G34-0.58</f>
        <v>0.92</v>
      </c>
      <c r="H65" s="84">
        <v>3</v>
      </c>
      <c r="I65" s="178"/>
    </row>
    <row r="66" spans="3:11" ht="26.25" thickBot="1" x14ac:dyDescent="0.3">
      <c r="C66" s="51">
        <f t="shared" ref="C66" si="2">C61+0.1</f>
        <v>2.4000000000000004</v>
      </c>
      <c r="D66" s="55" t="s">
        <v>24</v>
      </c>
      <c r="E66" s="75"/>
      <c r="F66" s="75"/>
      <c r="G66" s="75"/>
      <c r="H66" s="75"/>
      <c r="I66" s="175"/>
    </row>
    <row r="67" spans="3:11" x14ac:dyDescent="0.25">
      <c r="C67" s="63"/>
      <c r="D67" s="15" t="s">
        <v>133</v>
      </c>
      <c r="E67" s="77">
        <v>1.1000000000000001</v>
      </c>
      <c r="F67" s="77">
        <v>0.8</v>
      </c>
      <c r="G67" s="77">
        <f>+G35-0.58</f>
        <v>0.82</v>
      </c>
      <c r="H67" s="77">
        <v>2</v>
      </c>
      <c r="I67" s="165"/>
    </row>
    <row r="68" spans="3:11" x14ac:dyDescent="0.25">
      <c r="C68" s="63"/>
      <c r="D68" s="15" t="s">
        <v>108</v>
      </c>
      <c r="E68" s="77">
        <v>2.1</v>
      </c>
      <c r="F68" s="77">
        <v>0.75</v>
      </c>
      <c r="G68" s="77">
        <f>+G114-0.2-G96</f>
        <v>1.62</v>
      </c>
      <c r="H68" s="77">
        <v>1</v>
      </c>
      <c r="I68" s="165"/>
      <c r="K68" s="88">
        <f>+G114-0.2-G96</f>
        <v>1.62</v>
      </c>
    </row>
    <row r="69" spans="3:11" x14ac:dyDescent="0.25">
      <c r="C69" s="63"/>
      <c r="D69" s="15" t="s">
        <v>109</v>
      </c>
      <c r="E69" s="77">
        <v>2.1</v>
      </c>
      <c r="F69" s="77">
        <v>0.75</v>
      </c>
      <c r="G69" s="77">
        <f t="shared" ref="G69:G75" si="3">+G115-0.2-G97</f>
        <v>1.75</v>
      </c>
      <c r="H69" s="77">
        <v>1</v>
      </c>
      <c r="I69" s="165"/>
      <c r="K69" s="88">
        <f t="shared" ref="K69:K75" si="4">+G115-0.2-G97</f>
        <v>1.75</v>
      </c>
    </row>
    <row r="70" spans="3:11" x14ac:dyDescent="0.25">
      <c r="C70" s="63"/>
      <c r="D70" s="15" t="s">
        <v>106</v>
      </c>
      <c r="E70" s="77">
        <v>2.5</v>
      </c>
      <c r="F70" s="77">
        <v>0.75</v>
      </c>
      <c r="G70" s="77">
        <f t="shared" si="3"/>
        <v>1.86</v>
      </c>
      <c r="H70" s="77">
        <v>1</v>
      </c>
      <c r="I70" s="165"/>
      <c r="K70" s="88">
        <f t="shared" si="4"/>
        <v>1.86</v>
      </c>
    </row>
    <row r="71" spans="3:11" x14ac:dyDescent="0.25">
      <c r="C71" s="63"/>
      <c r="D71" s="15" t="s">
        <v>107</v>
      </c>
      <c r="E71" s="77">
        <v>3.2</v>
      </c>
      <c r="F71" s="77">
        <v>0.75</v>
      </c>
      <c r="G71" s="77">
        <f t="shared" si="3"/>
        <v>1.99</v>
      </c>
      <c r="H71" s="77">
        <v>1</v>
      </c>
      <c r="I71" s="165"/>
      <c r="K71" s="88">
        <f t="shared" si="4"/>
        <v>1.99</v>
      </c>
    </row>
    <row r="72" spans="3:11" x14ac:dyDescent="0.25">
      <c r="C72" s="63"/>
      <c r="D72" s="15" t="s">
        <v>110</v>
      </c>
      <c r="E72" s="77">
        <v>3</v>
      </c>
      <c r="F72" s="77">
        <v>0.75</v>
      </c>
      <c r="G72" s="77">
        <f t="shared" si="3"/>
        <v>1.65</v>
      </c>
      <c r="H72" s="77">
        <v>1</v>
      </c>
      <c r="I72" s="165"/>
      <c r="K72" s="88">
        <f t="shared" si="4"/>
        <v>1.65</v>
      </c>
    </row>
    <row r="73" spans="3:11" x14ac:dyDescent="0.25">
      <c r="C73" s="63"/>
      <c r="D73" s="15" t="s">
        <v>111</v>
      </c>
      <c r="E73" s="77">
        <v>3.1</v>
      </c>
      <c r="F73" s="77">
        <v>0.75</v>
      </c>
      <c r="G73" s="77">
        <f t="shared" si="3"/>
        <v>1.8499999999999999</v>
      </c>
      <c r="H73" s="77">
        <v>1</v>
      </c>
      <c r="I73" s="165"/>
      <c r="K73" s="88">
        <f t="shared" si="4"/>
        <v>1.8499999999999999</v>
      </c>
    </row>
    <row r="74" spans="3:11" x14ac:dyDescent="0.25">
      <c r="C74" s="63"/>
      <c r="D74" s="15" t="s">
        <v>112</v>
      </c>
      <c r="E74" s="77">
        <v>4.2</v>
      </c>
      <c r="F74" s="77">
        <v>0.75</v>
      </c>
      <c r="G74" s="77">
        <f t="shared" si="3"/>
        <v>1.8499999999999999</v>
      </c>
      <c r="H74" s="77">
        <v>1</v>
      </c>
      <c r="I74" s="165"/>
      <c r="K74" s="88">
        <f t="shared" si="4"/>
        <v>1.8499999999999999</v>
      </c>
    </row>
    <row r="75" spans="3:11" x14ac:dyDescent="0.25">
      <c r="C75" s="63"/>
      <c r="D75" s="15" t="s">
        <v>114</v>
      </c>
      <c r="E75" s="77">
        <f>(2.5+2.8)/2</f>
        <v>2.65</v>
      </c>
      <c r="F75" s="77">
        <v>0.75</v>
      </c>
      <c r="G75" s="77">
        <f t="shared" si="3"/>
        <v>1.8499999999999999</v>
      </c>
      <c r="H75" s="77">
        <v>1</v>
      </c>
      <c r="I75" s="165"/>
      <c r="K75" s="88">
        <f t="shared" si="4"/>
        <v>1.8499999999999999</v>
      </c>
    </row>
    <row r="76" spans="3:11" x14ac:dyDescent="0.25">
      <c r="C76" s="63"/>
      <c r="D76" s="15" t="s">
        <v>135</v>
      </c>
      <c r="E76" s="77">
        <v>2.8</v>
      </c>
      <c r="F76" s="77">
        <v>0.75</v>
      </c>
      <c r="G76" s="77">
        <f>+G122-0.2-G105</f>
        <v>1.75</v>
      </c>
      <c r="H76" s="77">
        <v>1</v>
      </c>
      <c r="I76" s="165"/>
    </row>
    <row r="77" spans="3:11" x14ac:dyDescent="0.25">
      <c r="C77" s="63"/>
      <c r="D77" s="15" t="s">
        <v>134</v>
      </c>
      <c r="E77" s="77">
        <v>3.5</v>
      </c>
      <c r="F77" s="77">
        <v>0.75</v>
      </c>
      <c r="G77" s="77">
        <f>+G123-0.2-G104</f>
        <v>1.75</v>
      </c>
      <c r="H77" s="77">
        <v>1</v>
      </c>
      <c r="I77" s="165"/>
    </row>
    <row r="78" spans="3:11" x14ac:dyDescent="0.25">
      <c r="C78" s="63"/>
      <c r="D78" s="15" t="s">
        <v>129</v>
      </c>
      <c r="E78" s="77">
        <f>+SUM(E68:E77)*-1</f>
        <v>-29.15</v>
      </c>
      <c r="F78" s="77">
        <f>((+PI())*(0.0762^2))/2</f>
        <v>9.1207346237549593E-3</v>
      </c>
      <c r="G78" s="77"/>
      <c r="H78" s="77"/>
      <c r="I78" s="165"/>
    </row>
    <row r="79" spans="3:11" x14ac:dyDescent="0.25">
      <c r="C79" s="63"/>
      <c r="D79" s="15" t="s">
        <v>123</v>
      </c>
      <c r="E79" s="77">
        <v>5.2</v>
      </c>
      <c r="F79" s="77">
        <v>0.9</v>
      </c>
      <c r="G79" s="77">
        <f t="shared" ref="G79:G85" si="5">+G124-0.2-G88</f>
        <v>1.8499999999999996</v>
      </c>
      <c r="H79" s="77"/>
      <c r="I79" s="165"/>
      <c r="K79" s="78">
        <v>1.8499999999999999</v>
      </c>
    </row>
    <row r="80" spans="3:11" x14ac:dyDescent="0.25">
      <c r="C80" s="63"/>
      <c r="D80" s="15" t="s">
        <v>124</v>
      </c>
      <c r="E80" s="77">
        <v>5.81</v>
      </c>
      <c r="F80" s="77">
        <v>1.37</v>
      </c>
      <c r="G80" s="77">
        <f t="shared" si="5"/>
        <v>2.15</v>
      </c>
      <c r="H80" s="77"/>
      <c r="I80" s="165"/>
      <c r="K80" s="78">
        <v>2.15</v>
      </c>
    </row>
    <row r="81" spans="3:15" x14ac:dyDescent="0.25">
      <c r="C81" s="63"/>
      <c r="D81" s="15" t="s">
        <v>125</v>
      </c>
      <c r="E81" s="77">
        <v>5.81</v>
      </c>
      <c r="F81" s="77">
        <v>1.3</v>
      </c>
      <c r="G81" s="77">
        <f t="shared" si="5"/>
        <v>2.2699999999999996</v>
      </c>
      <c r="H81" s="77"/>
      <c r="I81" s="165"/>
      <c r="K81" s="78">
        <v>2.27</v>
      </c>
    </row>
    <row r="82" spans="3:15" x14ac:dyDescent="0.25">
      <c r="C82" s="63"/>
      <c r="D82" s="15" t="s">
        <v>126</v>
      </c>
      <c r="E82" s="77">
        <v>5.81</v>
      </c>
      <c r="F82" s="77">
        <v>1.1000000000000001</v>
      </c>
      <c r="G82" s="77">
        <f t="shared" si="5"/>
        <v>2.4</v>
      </c>
      <c r="H82" s="77"/>
      <c r="I82" s="165"/>
      <c r="K82" s="78">
        <v>2.4</v>
      </c>
    </row>
    <row r="83" spans="3:15" x14ac:dyDescent="0.25">
      <c r="C83" s="63"/>
      <c r="D83" s="15" t="s">
        <v>127</v>
      </c>
      <c r="E83" s="77">
        <v>5.81</v>
      </c>
      <c r="F83" s="77">
        <v>1.1000000000000001</v>
      </c>
      <c r="G83" s="77">
        <f t="shared" si="5"/>
        <v>2.4</v>
      </c>
      <c r="H83" s="77"/>
      <c r="I83" s="165"/>
      <c r="K83" s="78">
        <v>2.4</v>
      </c>
    </row>
    <row r="84" spans="3:15" x14ac:dyDescent="0.25">
      <c r="C84" s="63"/>
      <c r="D84" s="15" t="s">
        <v>128</v>
      </c>
      <c r="E84" s="77">
        <v>5.81</v>
      </c>
      <c r="F84" s="77">
        <v>1.1000000000000001</v>
      </c>
      <c r="G84" s="77">
        <f t="shared" si="5"/>
        <v>2.4</v>
      </c>
      <c r="H84" s="77"/>
      <c r="I84" s="165"/>
      <c r="K84" s="78">
        <v>2.4</v>
      </c>
    </row>
    <row r="85" spans="3:15" x14ac:dyDescent="0.25">
      <c r="C85" s="63"/>
      <c r="D85" s="15" t="s">
        <v>137</v>
      </c>
      <c r="E85" s="84">
        <v>5.81</v>
      </c>
      <c r="F85" s="84">
        <v>1.1000000000000001</v>
      </c>
      <c r="G85" s="77">
        <f t="shared" si="5"/>
        <v>2.2999999999999998</v>
      </c>
      <c r="H85" s="84"/>
      <c r="I85" s="165"/>
      <c r="K85" s="78">
        <v>2.2999999999999998</v>
      </c>
    </row>
    <row r="86" spans="3:15" ht="15.75" thickBot="1" x14ac:dyDescent="0.3">
      <c r="C86" s="63"/>
      <c r="D86" s="72" t="s">
        <v>122</v>
      </c>
      <c r="E86" s="84">
        <f>+(E79+E80+E81+E82+E83+E84+E85)*-1</f>
        <v>-40.06</v>
      </c>
      <c r="F86" s="84">
        <f>((+PI())*(0.1524^2))/2</f>
        <v>3.6482938495019837E-2</v>
      </c>
      <c r="G86" s="84"/>
      <c r="H86" s="84"/>
      <c r="I86" s="178"/>
    </row>
    <row r="87" spans="3:15" ht="26.25" thickBot="1" x14ac:dyDescent="0.3">
      <c r="C87" s="51">
        <f>C66+0.1</f>
        <v>2.5000000000000004</v>
      </c>
      <c r="D87" s="55" t="s">
        <v>25</v>
      </c>
      <c r="E87" s="75"/>
      <c r="F87" s="75"/>
      <c r="G87" s="75"/>
      <c r="H87" s="75"/>
      <c r="I87" s="175"/>
    </row>
    <row r="88" spans="3:15" x14ac:dyDescent="0.25">
      <c r="C88" s="63"/>
      <c r="D88" s="57" t="s">
        <v>123</v>
      </c>
      <c r="E88" s="81">
        <v>5.2</v>
      </c>
      <c r="F88" s="81">
        <v>0.9</v>
      </c>
      <c r="G88" s="81">
        <v>0.25</v>
      </c>
      <c r="H88" s="81"/>
      <c r="I88" s="176"/>
      <c r="K88" s="78">
        <f>12*2.54</f>
        <v>30.48</v>
      </c>
      <c r="L88" s="78">
        <f>+K88/2</f>
        <v>15.24</v>
      </c>
      <c r="M88" s="78">
        <f>+L88/100</f>
        <v>0.15240000000000001</v>
      </c>
      <c r="N88" s="78">
        <v>0.1</v>
      </c>
      <c r="O88" s="88">
        <f>+M88+N88</f>
        <v>0.25240000000000001</v>
      </c>
    </row>
    <row r="89" spans="3:15" x14ac:dyDescent="0.25">
      <c r="C89" s="63"/>
      <c r="D89" s="15" t="s">
        <v>124</v>
      </c>
      <c r="E89" s="77">
        <v>5.81</v>
      </c>
      <c r="F89" s="77">
        <v>1.37</v>
      </c>
      <c r="G89" s="77">
        <v>0.25</v>
      </c>
      <c r="H89" s="77"/>
      <c r="I89" s="165"/>
      <c r="K89" s="78">
        <f>6*2.54</f>
        <v>15.24</v>
      </c>
      <c r="L89" s="78">
        <f>+K89/2</f>
        <v>7.62</v>
      </c>
      <c r="M89" s="78">
        <f>+L89/100</f>
        <v>7.6200000000000004E-2</v>
      </c>
    </row>
    <row r="90" spans="3:15" x14ac:dyDescent="0.25">
      <c r="C90" s="63"/>
      <c r="D90" s="15" t="s">
        <v>125</v>
      </c>
      <c r="E90" s="77">
        <v>5.81</v>
      </c>
      <c r="F90" s="77">
        <v>1.3</v>
      </c>
      <c r="G90" s="77">
        <v>0.25</v>
      </c>
      <c r="H90" s="77"/>
      <c r="I90" s="165"/>
    </row>
    <row r="91" spans="3:15" x14ac:dyDescent="0.25">
      <c r="C91" s="63"/>
      <c r="D91" s="15" t="s">
        <v>126</v>
      </c>
      <c r="E91" s="77">
        <v>5.81</v>
      </c>
      <c r="F91" s="77">
        <v>1.1000000000000001</v>
      </c>
      <c r="G91" s="77">
        <v>0.25</v>
      </c>
      <c r="H91" s="77"/>
      <c r="I91" s="165"/>
    </row>
    <row r="92" spans="3:15" x14ac:dyDescent="0.25">
      <c r="C92" s="63"/>
      <c r="D92" s="15" t="s">
        <v>127</v>
      </c>
      <c r="E92" s="77">
        <v>5.81</v>
      </c>
      <c r="F92" s="77">
        <v>1.1000000000000001</v>
      </c>
      <c r="G92" s="77">
        <v>0.25</v>
      </c>
      <c r="H92" s="77"/>
      <c r="I92" s="165"/>
    </row>
    <row r="93" spans="3:15" x14ac:dyDescent="0.25">
      <c r="C93" s="63"/>
      <c r="D93" s="15" t="s">
        <v>128</v>
      </c>
      <c r="E93" s="77">
        <v>5.81</v>
      </c>
      <c r="F93" s="77">
        <v>1.1000000000000001</v>
      </c>
      <c r="G93" s="77">
        <v>0.25</v>
      </c>
      <c r="H93" s="77"/>
      <c r="I93" s="165"/>
    </row>
    <row r="94" spans="3:15" x14ac:dyDescent="0.25">
      <c r="C94" s="63"/>
      <c r="D94" s="15" t="s">
        <v>137</v>
      </c>
      <c r="E94" s="77">
        <v>5.81</v>
      </c>
      <c r="F94" s="77">
        <v>1.1000000000000001</v>
      </c>
      <c r="G94" s="77">
        <v>0.25</v>
      </c>
      <c r="H94" s="77"/>
      <c r="I94" s="165"/>
      <c r="L94" s="76">
        <v>5.2</v>
      </c>
      <c r="M94" s="77">
        <v>0.9</v>
      </c>
      <c r="N94" s="76">
        <v>2.2999999999999998</v>
      </c>
    </row>
    <row r="95" spans="3:15" x14ac:dyDescent="0.25">
      <c r="C95" s="63"/>
      <c r="D95" s="15" t="s">
        <v>122</v>
      </c>
      <c r="E95" s="77">
        <f>+(E88+E89+E90+E91+E92+E93+E94)*-1</f>
        <v>-40.06</v>
      </c>
      <c r="F95" s="77">
        <f>((+PI())*(0.1524^2))/2</f>
        <v>3.6482938495019837E-2</v>
      </c>
      <c r="G95" s="77"/>
      <c r="H95" s="77"/>
      <c r="I95" s="165"/>
      <c r="L95" s="76">
        <v>5.81</v>
      </c>
      <c r="M95" s="77">
        <v>1.37</v>
      </c>
      <c r="N95" s="83">
        <v>2.6</v>
      </c>
    </row>
    <row r="96" spans="3:15" x14ac:dyDescent="0.25">
      <c r="C96" s="63"/>
      <c r="D96" s="15" t="s">
        <v>108</v>
      </c>
      <c r="E96" s="77">
        <v>2.1</v>
      </c>
      <c r="F96" s="77">
        <v>0.75</v>
      </c>
      <c r="G96" s="77">
        <v>0.18</v>
      </c>
      <c r="H96" s="77"/>
      <c r="I96" s="165"/>
      <c r="L96" s="76">
        <v>5.81</v>
      </c>
      <c r="M96" s="77">
        <v>1.3</v>
      </c>
      <c r="N96" s="83">
        <f>1.5+1.22</f>
        <v>2.7199999999999998</v>
      </c>
    </row>
    <row r="97" spans="3:14" x14ac:dyDescent="0.25">
      <c r="C97" s="63"/>
      <c r="D97" s="15" t="s">
        <v>109</v>
      </c>
      <c r="E97" s="77">
        <v>2.1</v>
      </c>
      <c r="F97" s="77">
        <v>0.75</v>
      </c>
      <c r="G97" s="77">
        <v>0.18</v>
      </c>
      <c r="H97" s="77"/>
      <c r="I97" s="165"/>
      <c r="L97" s="76">
        <v>5.81</v>
      </c>
      <c r="M97" s="77">
        <v>1.1000000000000001</v>
      </c>
      <c r="N97" s="83">
        <f>1.5+1.35</f>
        <v>2.85</v>
      </c>
    </row>
    <row r="98" spans="3:14" x14ac:dyDescent="0.25">
      <c r="C98" s="63"/>
      <c r="D98" s="15" t="s">
        <v>106</v>
      </c>
      <c r="E98" s="77">
        <v>2.5</v>
      </c>
      <c r="F98" s="77">
        <v>0.75</v>
      </c>
      <c r="G98" s="77">
        <v>0.18</v>
      </c>
      <c r="H98" s="77"/>
      <c r="I98" s="165"/>
      <c r="L98" s="76">
        <v>5.81</v>
      </c>
      <c r="M98" s="77">
        <v>1.1000000000000001</v>
      </c>
      <c r="N98" s="83">
        <f t="shared" ref="N98:N99" si="6">1.5+1.35</f>
        <v>2.85</v>
      </c>
    </row>
    <row r="99" spans="3:14" x14ac:dyDescent="0.25">
      <c r="C99" s="63"/>
      <c r="D99" s="15" t="s">
        <v>107</v>
      </c>
      <c r="E99" s="77">
        <v>3.2</v>
      </c>
      <c r="F99" s="77">
        <v>0.75</v>
      </c>
      <c r="G99" s="77">
        <v>0.18</v>
      </c>
      <c r="H99" s="77"/>
      <c r="I99" s="165"/>
      <c r="L99" s="76">
        <v>5.81</v>
      </c>
      <c r="M99" s="77">
        <v>1.1000000000000001</v>
      </c>
      <c r="N99" s="83">
        <f t="shared" si="6"/>
        <v>2.85</v>
      </c>
    </row>
    <row r="100" spans="3:14" x14ac:dyDescent="0.25">
      <c r="C100" s="63"/>
      <c r="D100" s="15" t="s">
        <v>110</v>
      </c>
      <c r="E100" s="77">
        <v>3</v>
      </c>
      <c r="F100" s="77">
        <v>0.75</v>
      </c>
      <c r="G100" s="77">
        <v>0.18</v>
      </c>
      <c r="H100" s="77"/>
      <c r="I100" s="165"/>
      <c r="L100" s="76">
        <v>5.81</v>
      </c>
      <c r="M100" s="77">
        <v>1.1000000000000001</v>
      </c>
      <c r="N100" s="83">
        <v>2.75</v>
      </c>
    </row>
    <row r="101" spans="3:14" x14ac:dyDescent="0.25">
      <c r="C101" s="63"/>
      <c r="D101" s="15" t="s">
        <v>111</v>
      </c>
      <c r="E101" s="77">
        <v>3.1</v>
      </c>
      <c r="F101" s="77">
        <v>0.75</v>
      </c>
      <c r="G101" s="77">
        <v>0.18</v>
      </c>
      <c r="H101" s="77"/>
      <c r="I101" s="165"/>
    </row>
    <row r="102" spans="3:14" x14ac:dyDescent="0.25">
      <c r="C102" s="63"/>
      <c r="D102" s="15" t="s">
        <v>112</v>
      </c>
      <c r="E102" s="77">
        <v>4.2</v>
      </c>
      <c r="F102" s="77">
        <v>0.75</v>
      </c>
      <c r="G102" s="77">
        <v>0.18</v>
      </c>
      <c r="H102" s="77"/>
      <c r="I102" s="165"/>
    </row>
    <row r="103" spans="3:14" x14ac:dyDescent="0.25">
      <c r="C103" s="63"/>
      <c r="D103" s="15" t="s">
        <v>114</v>
      </c>
      <c r="E103" s="77">
        <f>(2.5+2.8)/2</f>
        <v>2.65</v>
      </c>
      <c r="F103" s="77">
        <v>0.75</v>
      </c>
      <c r="G103" s="77">
        <v>0.18</v>
      </c>
      <c r="H103" s="77"/>
      <c r="I103" s="165"/>
    </row>
    <row r="104" spans="3:14" x14ac:dyDescent="0.25">
      <c r="C104" s="63"/>
      <c r="D104" s="15" t="s">
        <v>134</v>
      </c>
      <c r="E104" s="77">
        <v>3.5</v>
      </c>
      <c r="F104" s="77">
        <v>0.75</v>
      </c>
      <c r="G104" s="77">
        <v>0.18</v>
      </c>
      <c r="H104" s="77"/>
      <c r="I104" s="165"/>
    </row>
    <row r="105" spans="3:14" x14ac:dyDescent="0.25">
      <c r="C105" s="63"/>
      <c r="D105" s="15" t="s">
        <v>135</v>
      </c>
      <c r="E105" s="77">
        <v>2.8</v>
      </c>
      <c r="F105" s="77">
        <v>0.75</v>
      </c>
      <c r="G105" s="77">
        <v>0.18</v>
      </c>
      <c r="H105" s="77"/>
      <c r="I105" s="165"/>
    </row>
    <row r="106" spans="3:14" ht="15.75" thickBot="1" x14ac:dyDescent="0.3">
      <c r="C106" s="63"/>
      <c r="D106" s="15" t="s">
        <v>129</v>
      </c>
      <c r="E106" s="77">
        <f>+SUM(E96:E105)*-1</f>
        <v>-29.15</v>
      </c>
      <c r="F106" s="77">
        <f>((+PI())*(0.0762^2))/2</f>
        <v>9.1207346237549593E-3</v>
      </c>
      <c r="G106" s="77"/>
      <c r="H106" s="77"/>
      <c r="I106" s="165"/>
    </row>
    <row r="107" spans="3:14" ht="26.25" hidden="1" thickBot="1" x14ac:dyDescent="0.3">
      <c r="C107" s="51">
        <f>C87+0.1</f>
        <v>2.6000000000000005</v>
      </c>
      <c r="D107" s="59" t="s">
        <v>26</v>
      </c>
      <c r="E107" s="75"/>
      <c r="F107" s="75"/>
      <c r="G107" s="75"/>
      <c r="H107" s="75"/>
      <c r="I107" s="179"/>
    </row>
    <row r="108" spans="3:14" ht="15.75" thickBot="1" x14ac:dyDescent="0.3">
      <c r="C108" s="51">
        <f>C107+0.1</f>
        <v>2.7000000000000006</v>
      </c>
      <c r="D108" s="52" t="s">
        <v>27</v>
      </c>
      <c r="E108" s="75"/>
      <c r="F108" s="75"/>
      <c r="G108" s="75"/>
      <c r="H108" s="75"/>
      <c r="I108" s="175"/>
    </row>
    <row r="109" spans="3:14" x14ac:dyDescent="0.25">
      <c r="C109" s="63"/>
      <c r="D109" s="57" t="s">
        <v>102</v>
      </c>
      <c r="E109" s="81">
        <v>1.1000000000000001</v>
      </c>
      <c r="F109" s="81">
        <v>0.8</v>
      </c>
      <c r="G109" s="81">
        <f>+G31</f>
        <v>1.65</v>
      </c>
      <c r="H109" s="81">
        <v>3</v>
      </c>
      <c r="I109" s="176"/>
    </row>
    <row r="110" spans="3:14" x14ac:dyDescent="0.25">
      <c r="C110" s="63"/>
      <c r="D110" s="15" t="s">
        <v>103</v>
      </c>
      <c r="E110" s="77">
        <v>1.1000000000000001</v>
      </c>
      <c r="F110" s="77">
        <v>0.8</v>
      </c>
      <c r="G110" s="81">
        <f>+G32</f>
        <v>1.9</v>
      </c>
      <c r="H110" s="77">
        <v>1</v>
      </c>
      <c r="I110" s="165"/>
    </row>
    <row r="111" spans="3:14" x14ac:dyDescent="0.25">
      <c r="C111" s="63"/>
      <c r="D111" s="15" t="s">
        <v>104</v>
      </c>
      <c r="E111" s="77">
        <v>1.1000000000000001</v>
      </c>
      <c r="F111" s="77">
        <v>0.8</v>
      </c>
      <c r="G111" s="81">
        <f>+G33</f>
        <v>0.9</v>
      </c>
      <c r="H111" s="77">
        <v>1</v>
      </c>
      <c r="I111" s="165"/>
    </row>
    <row r="112" spans="3:14" x14ac:dyDescent="0.25">
      <c r="C112" s="63"/>
      <c r="D112" s="15" t="s">
        <v>105</v>
      </c>
      <c r="E112" s="77">
        <v>1.1000000000000001</v>
      </c>
      <c r="F112" s="77">
        <v>0.8</v>
      </c>
      <c r="G112" s="81">
        <f>+G34</f>
        <v>1.5</v>
      </c>
      <c r="H112" s="77">
        <v>3</v>
      </c>
      <c r="I112" s="165"/>
    </row>
    <row r="113" spans="3:13" x14ac:dyDescent="0.25">
      <c r="C113" s="63"/>
      <c r="D113" s="15" t="s">
        <v>133</v>
      </c>
      <c r="E113" s="77">
        <v>1.1000000000000001</v>
      </c>
      <c r="F113" s="77">
        <v>0.8</v>
      </c>
      <c r="G113" s="81">
        <f>+G35</f>
        <v>1.4</v>
      </c>
      <c r="H113" s="77">
        <v>2</v>
      </c>
      <c r="I113" s="165"/>
    </row>
    <row r="114" spans="3:13" x14ac:dyDescent="0.25">
      <c r="C114" s="63"/>
      <c r="D114" s="15" t="s">
        <v>108</v>
      </c>
      <c r="E114" s="77">
        <v>2.1</v>
      </c>
      <c r="F114" s="77">
        <v>0.75</v>
      </c>
      <c r="G114" s="77">
        <f>+G38</f>
        <v>2</v>
      </c>
      <c r="H114" s="77">
        <v>1</v>
      </c>
      <c r="I114" s="165"/>
      <c r="K114" s="77">
        <v>2.1</v>
      </c>
      <c r="L114" s="77">
        <v>0.75</v>
      </c>
      <c r="M114" s="77">
        <f>+ROUND((1.7+2+2.3)/3,2)</f>
        <v>2</v>
      </c>
    </row>
    <row r="115" spans="3:13" x14ac:dyDescent="0.25">
      <c r="C115" s="63"/>
      <c r="D115" s="15" t="s">
        <v>109</v>
      </c>
      <c r="E115" s="77">
        <v>2.1</v>
      </c>
      <c r="F115" s="77">
        <v>0.75</v>
      </c>
      <c r="G115" s="77">
        <f t="shared" ref="G115:G116" si="7">+G39</f>
        <v>2.13</v>
      </c>
      <c r="H115" s="77">
        <v>1</v>
      </c>
      <c r="I115" s="165"/>
      <c r="K115" s="77">
        <v>2.1</v>
      </c>
      <c r="L115" s="77">
        <v>0.75</v>
      </c>
      <c r="M115" s="77">
        <f>+ROUND((1.7+2.1+2.6)/3,2)</f>
        <v>2.13</v>
      </c>
    </row>
    <row r="116" spans="3:13" x14ac:dyDescent="0.25">
      <c r="C116" s="63"/>
      <c r="D116" s="15" t="s">
        <v>106</v>
      </c>
      <c r="E116" s="77">
        <v>2.5</v>
      </c>
      <c r="F116" s="77">
        <v>0.75</v>
      </c>
      <c r="G116" s="77">
        <f t="shared" si="7"/>
        <v>2.2400000000000002</v>
      </c>
      <c r="H116" s="77">
        <v>1</v>
      </c>
      <c r="I116" s="165"/>
      <c r="K116" s="77">
        <v>2.5</v>
      </c>
      <c r="L116" s="77">
        <v>0.75</v>
      </c>
      <c r="M116" s="77">
        <f>+ROUND((1.7+2.3+2.72)/3,2)</f>
        <v>2.2400000000000002</v>
      </c>
    </row>
    <row r="117" spans="3:13" x14ac:dyDescent="0.25">
      <c r="C117" s="63"/>
      <c r="D117" s="15" t="s">
        <v>107</v>
      </c>
      <c r="E117" s="77">
        <v>3.2</v>
      </c>
      <c r="F117" s="77">
        <v>0.75</v>
      </c>
      <c r="G117" s="77">
        <f>+G41</f>
        <v>2.37</v>
      </c>
      <c r="H117" s="77">
        <v>1</v>
      </c>
      <c r="I117" s="165"/>
      <c r="K117" s="77">
        <v>3.2</v>
      </c>
      <c r="L117" s="77">
        <v>0.75</v>
      </c>
      <c r="M117" s="77">
        <f>+ROUND((1.95+2.3+2.85)/3,2)</f>
        <v>2.37</v>
      </c>
    </row>
    <row r="118" spans="3:13" x14ac:dyDescent="0.25">
      <c r="C118" s="63"/>
      <c r="D118" s="15" t="s">
        <v>110</v>
      </c>
      <c r="E118" s="77">
        <v>3</v>
      </c>
      <c r="F118" s="77">
        <v>0.75</v>
      </c>
      <c r="G118" s="77">
        <f>+G42</f>
        <v>2.0299999999999998</v>
      </c>
      <c r="H118" s="77">
        <v>1</v>
      </c>
      <c r="I118" s="165"/>
      <c r="K118" s="77">
        <v>3</v>
      </c>
      <c r="L118" s="77">
        <v>0.75</v>
      </c>
      <c r="M118" s="77">
        <f>+ROUND((0.95+2.3+2.85)/3,2)</f>
        <v>2.0299999999999998</v>
      </c>
    </row>
    <row r="119" spans="3:13" x14ac:dyDescent="0.25">
      <c r="C119" s="63"/>
      <c r="D119" s="15" t="s">
        <v>111</v>
      </c>
      <c r="E119" s="77">
        <v>3.1</v>
      </c>
      <c r="F119" s="77">
        <v>0.75</v>
      </c>
      <c r="G119" s="77">
        <f t="shared" ref="G119:G120" si="8">+G43</f>
        <v>2.23</v>
      </c>
      <c r="H119" s="77">
        <v>1</v>
      </c>
      <c r="I119" s="165"/>
      <c r="K119" s="77">
        <v>3.1</v>
      </c>
      <c r="L119" s="77">
        <v>0.75</v>
      </c>
      <c r="M119" s="77">
        <f>+ROUND((1.55+2.3+2.85)/3,2)</f>
        <v>2.23</v>
      </c>
    </row>
    <row r="120" spans="3:13" x14ac:dyDescent="0.25">
      <c r="C120" s="63"/>
      <c r="D120" s="15" t="s">
        <v>112</v>
      </c>
      <c r="E120" s="77">
        <v>4.2</v>
      </c>
      <c r="F120" s="77">
        <v>0.75</v>
      </c>
      <c r="G120" s="77">
        <f t="shared" si="8"/>
        <v>2.23</v>
      </c>
      <c r="H120" s="77">
        <v>1</v>
      </c>
      <c r="I120" s="165"/>
      <c r="K120" s="77">
        <v>4.2</v>
      </c>
      <c r="L120" s="77">
        <v>0.75</v>
      </c>
      <c r="M120" s="77">
        <f>+ROUND((1.55+2.3+2.85)/3,2)</f>
        <v>2.23</v>
      </c>
    </row>
    <row r="121" spans="3:13" x14ac:dyDescent="0.25">
      <c r="C121" s="63"/>
      <c r="D121" s="15" t="s">
        <v>114</v>
      </c>
      <c r="E121" s="77">
        <f>(2.5+2.8)/2</f>
        <v>2.65</v>
      </c>
      <c r="F121" s="77">
        <v>0.75</v>
      </c>
      <c r="G121" s="77">
        <f>+G45</f>
        <v>2.23</v>
      </c>
      <c r="H121" s="77">
        <v>1</v>
      </c>
      <c r="I121" s="165"/>
      <c r="K121" s="77">
        <f>(2.5+2.8)/2</f>
        <v>2.65</v>
      </c>
      <c r="L121" s="77">
        <v>0.75</v>
      </c>
      <c r="M121" s="77">
        <f>+ROUND((1.55+2.3+2.85)/3,2)</f>
        <v>2.23</v>
      </c>
    </row>
    <row r="122" spans="3:13" x14ac:dyDescent="0.25">
      <c r="C122" s="63"/>
      <c r="D122" s="15" t="s">
        <v>135</v>
      </c>
      <c r="E122" s="77">
        <v>2.8</v>
      </c>
      <c r="F122" s="77">
        <v>0.75</v>
      </c>
      <c r="G122" s="77">
        <f>+ROUND((1.45+2.2+2.75)/3,2)</f>
        <v>2.13</v>
      </c>
      <c r="H122" s="77">
        <v>1</v>
      </c>
      <c r="I122" s="165"/>
    </row>
    <row r="123" spans="3:13" x14ac:dyDescent="0.25">
      <c r="C123" s="63"/>
      <c r="D123" s="15" t="s">
        <v>134</v>
      </c>
      <c r="E123" s="77">
        <v>3.5</v>
      </c>
      <c r="F123" s="77">
        <v>0.75</v>
      </c>
      <c r="G123" s="77">
        <f>+ROUND((1.45+2.2+2.75)/3,2)</f>
        <v>2.13</v>
      </c>
      <c r="H123" s="77">
        <v>1</v>
      </c>
      <c r="I123" s="165"/>
    </row>
    <row r="124" spans="3:13" x14ac:dyDescent="0.25">
      <c r="C124" s="63"/>
      <c r="D124" s="15" t="s">
        <v>123</v>
      </c>
      <c r="E124" s="77">
        <v>5.2</v>
      </c>
      <c r="F124" s="77">
        <v>0.9</v>
      </c>
      <c r="G124" s="77">
        <v>2.2999999999999998</v>
      </c>
      <c r="H124" s="77"/>
      <c r="I124" s="165"/>
    </row>
    <row r="125" spans="3:13" x14ac:dyDescent="0.25">
      <c r="C125" s="63"/>
      <c r="D125" s="15" t="s">
        <v>138</v>
      </c>
      <c r="E125" s="77">
        <v>5.81</v>
      </c>
      <c r="F125" s="77">
        <v>1.37</v>
      </c>
      <c r="G125" s="81">
        <v>2.6</v>
      </c>
      <c r="H125" s="77"/>
      <c r="I125" s="165"/>
    </row>
    <row r="126" spans="3:13" x14ac:dyDescent="0.25">
      <c r="C126" s="63"/>
      <c r="D126" s="15" t="s">
        <v>125</v>
      </c>
      <c r="E126" s="77">
        <v>5.81</v>
      </c>
      <c r="F126" s="77">
        <v>1.3</v>
      </c>
      <c r="G126" s="81">
        <f>1.5+1.22</f>
        <v>2.7199999999999998</v>
      </c>
      <c r="H126" s="77"/>
      <c r="I126" s="165"/>
    </row>
    <row r="127" spans="3:13" x14ac:dyDescent="0.25">
      <c r="C127" s="63"/>
      <c r="D127" s="15" t="s">
        <v>126</v>
      </c>
      <c r="E127" s="77">
        <v>5.81</v>
      </c>
      <c r="F127" s="77">
        <v>1.1000000000000001</v>
      </c>
      <c r="G127" s="81">
        <f>1.5+1.35</f>
        <v>2.85</v>
      </c>
      <c r="H127" s="77"/>
      <c r="I127" s="165"/>
    </row>
    <row r="128" spans="3:13" x14ac:dyDescent="0.25">
      <c r="C128" s="63"/>
      <c r="D128" s="15" t="s">
        <v>127</v>
      </c>
      <c r="E128" s="77">
        <v>5.81</v>
      </c>
      <c r="F128" s="77">
        <v>1.1000000000000001</v>
      </c>
      <c r="G128" s="81">
        <f t="shared" ref="G128:G129" si="9">1.5+1.35</f>
        <v>2.85</v>
      </c>
      <c r="H128" s="77"/>
      <c r="I128" s="165"/>
    </row>
    <row r="129" spans="3:9" x14ac:dyDescent="0.25">
      <c r="C129" s="63"/>
      <c r="D129" s="15" t="s">
        <v>128</v>
      </c>
      <c r="E129" s="77">
        <v>5.81</v>
      </c>
      <c r="F129" s="77">
        <v>1.1000000000000001</v>
      </c>
      <c r="G129" s="81">
        <f t="shared" si="9"/>
        <v>2.85</v>
      </c>
      <c r="H129" s="77"/>
      <c r="I129" s="165"/>
    </row>
    <row r="130" spans="3:9" x14ac:dyDescent="0.25">
      <c r="C130" s="63"/>
      <c r="D130" s="15" t="s">
        <v>137</v>
      </c>
      <c r="E130" s="77">
        <v>5.81</v>
      </c>
      <c r="F130" s="77">
        <v>1.1000000000000001</v>
      </c>
      <c r="G130" s="81">
        <v>2.75</v>
      </c>
      <c r="H130" s="84"/>
      <c r="I130" s="165"/>
    </row>
    <row r="131" spans="3:9" ht="15.75" thickBot="1" x14ac:dyDescent="0.3">
      <c r="C131" s="64">
        <v>3</v>
      </c>
      <c r="D131" s="56" t="s">
        <v>28</v>
      </c>
      <c r="E131" s="84"/>
      <c r="F131" s="84"/>
      <c r="G131" s="84"/>
      <c r="H131" s="84"/>
      <c r="I131" s="178"/>
    </row>
    <row r="132" spans="3:9" ht="26.25" thickBot="1" x14ac:dyDescent="0.3">
      <c r="C132" s="51">
        <f>C131+0.1</f>
        <v>3.1</v>
      </c>
      <c r="D132" s="55" t="s">
        <v>83</v>
      </c>
      <c r="E132" s="75"/>
      <c r="F132" s="75"/>
      <c r="G132" s="75"/>
      <c r="H132" s="75"/>
      <c r="I132" s="175"/>
    </row>
    <row r="133" spans="3:9" ht="25.5" x14ac:dyDescent="0.25">
      <c r="C133" s="46"/>
      <c r="D133" s="57" t="s">
        <v>113</v>
      </c>
      <c r="E133" s="81">
        <v>40.06</v>
      </c>
      <c r="F133" s="81"/>
      <c r="G133" s="81"/>
      <c r="H133" s="81"/>
      <c r="I133" s="176"/>
    </row>
    <row r="134" spans="3:9" ht="15.75" thickBot="1" x14ac:dyDescent="0.3">
      <c r="C134" s="64">
        <v>4</v>
      </c>
      <c r="D134" s="56" t="s">
        <v>29</v>
      </c>
      <c r="E134" s="84"/>
      <c r="F134" s="84"/>
      <c r="G134" s="84"/>
      <c r="H134" s="84"/>
      <c r="I134" s="178"/>
    </row>
    <row r="135" spans="3:9" ht="15.75" thickBot="1" x14ac:dyDescent="0.3">
      <c r="C135" s="51">
        <f>C134+0.1</f>
        <v>4.0999999999999996</v>
      </c>
      <c r="D135" s="52" t="s">
        <v>30</v>
      </c>
      <c r="E135" s="75"/>
      <c r="F135" s="75"/>
      <c r="G135" s="75"/>
      <c r="H135" s="75"/>
      <c r="I135" s="175"/>
    </row>
    <row r="136" spans="3:9" x14ac:dyDescent="0.25">
      <c r="C136" s="46"/>
      <c r="D136" s="54" t="s">
        <v>132</v>
      </c>
      <c r="E136" s="81">
        <v>1.1000000000000001</v>
      </c>
      <c r="F136" s="81">
        <v>0.8</v>
      </c>
      <c r="G136" s="81"/>
      <c r="H136" s="81">
        <v>10</v>
      </c>
      <c r="I136" s="176"/>
    </row>
    <row r="137" spans="3:9" hidden="1" x14ac:dyDescent="0.25">
      <c r="C137" s="12">
        <f>C135+0.1</f>
        <v>4.1999999999999993</v>
      </c>
      <c r="D137" s="13" t="s">
        <v>31</v>
      </c>
      <c r="E137" s="77"/>
      <c r="F137" s="77"/>
      <c r="G137" s="77"/>
      <c r="H137" s="77"/>
      <c r="I137" s="165"/>
    </row>
    <row r="138" spans="3:9" ht="25.5" hidden="1" x14ac:dyDescent="0.25">
      <c r="C138" s="12">
        <f t="shared" ref="C138:C140" si="10">C137+0.1</f>
        <v>4.2999999999999989</v>
      </c>
      <c r="D138" s="19" t="s">
        <v>32</v>
      </c>
      <c r="E138" s="77"/>
      <c r="F138" s="77"/>
      <c r="G138" s="77"/>
      <c r="H138" s="77"/>
      <c r="I138" s="165"/>
    </row>
    <row r="139" spans="3:9" ht="25.5" hidden="1" x14ac:dyDescent="0.25">
      <c r="C139" s="12">
        <f t="shared" si="10"/>
        <v>4.3999999999999986</v>
      </c>
      <c r="D139" s="19" t="s">
        <v>34</v>
      </c>
      <c r="E139" s="77"/>
      <c r="F139" s="77"/>
      <c r="G139" s="77"/>
      <c r="H139" s="77"/>
      <c r="I139" s="165"/>
    </row>
    <row r="140" spans="3:9" hidden="1" x14ac:dyDescent="0.25">
      <c r="C140" s="12">
        <f t="shared" si="10"/>
        <v>4.4999999999999982</v>
      </c>
      <c r="D140" s="19" t="s">
        <v>35</v>
      </c>
      <c r="E140" s="77"/>
      <c r="F140" s="77"/>
      <c r="G140" s="77"/>
      <c r="H140" s="77"/>
      <c r="I140" s="165"/>
    </row>
    <row r="141" spans="3:9" ht="15.75" thickBot="1" x14ac:dyDescent="0.3">
      <c r="C141" s="64">
        <v>5</v>
      </c>
      <c r="D141" s="58" t="s">
        <v>36</v>
      </c>
      <c r="E141" s="84"/>
      <c r="F141" s="84"/>
      <c r="G141" s="84"/>
      <c r="H141" s="84"/>
      <c r="I141" s="178"/>
    </row>
    <row r="142" spans="3:9" ht="39" thickBot="1" x14ac:dyDescent="0.3">
      <c r="C142" s="51">
        <f>C141+0.1</f>
        <v>5.0999999999999996</v>
      </c>
      <c r="D142" s="59" t="s">
        <v>37</v>
      </c>
      <c r="E142" s="75"/>
      <c r="F142" s="75"/>
      <c r="G142" s="75"/>
      <c r="H142" s="75"/>
      <c r="I142" s="175"/>
    </row>
    <row r="143" spans="3:9" ht="15.75" thickBot="1" x14ac:dyDescent="0.3">
      <c r="C143" s="71"/>
      <c r="D143" s="73" t="s">
        <v>132</v>
      </c>
      <c r="E143" s="86"/>
      <c r="F143" s="86"/>
      <c r="G143" s="86"/>
      <c r="H143" s="86">
        <v>10</v>
      </c>
      <c r="I143" s="180"/>
    </row>
    <row r="144" spans="3:9" hidden="1" x14ac:dyDescent="0.25">
      <c r="C144" s="50">
        <f>C142+0.1</f>
        <v>5.1999999999999993</v>
      </c>
      <c r="D144" s="54" t="s">
        <v>38</v>
      </c>
      <c r="E144" s="89"/>
      <c r="F144" s="89"/>
      <c r="G144" s="89"/>
      <c r="H144" s="89"/>
      <c r="I144" s="181">
        <v>0</v>
      </c>
    </row>
    <row r="145" spans="3:9" hidden="1" x14ac:dyDescent="0.25">
      <c r="C145" s="48">
        <f>C144+0.1</f>
        <v>5.2999999999999989</v>
      </c>
      <c r="D145" s="15" t="s">
        <v>39</v>
      </c>
      <c r="E145" s="90"/>
      <c r="F145" s="90"/>
      <c r="G145" s="90"/>
      <c r="H145" s="90"/>
      <c r="I145" s="105">
        <v>0</v>
      </c>
    </row>
    <row r="146" spans="3:9" hidden="1" x14ac:dyDescent="0.25">
      <c r="C146" s="48">
        <v>6</v>
      </c>
      <c r="D146" s="49" t="s">
        <v>40</v>
      </c>
      <c r="E146" s="90"/>
      <c r="F146" s="90"/>
      <c r="G146" s="90"/>
      <c r="H146" s="90"/>
      <c r="I146" s="105"/>
    </row>
    <row r="147" spans="3:9" hidden="1" x14ac:dyDescent="0.25">
      <c r="C147" s="48">
        <f t="shared" ref="C147:C149" si="11">C146+0.1</f>
        <v>6.1</v>
      </c>
      <c r="D147" s="15" t="s">
        <v>41</v>
      </c>
      <c r="E147" s="90"/>
      <c r="F147" s="90"/>
      <c r="G147" s="90"/>
      <c r="H147" s="90"/>
      <c r="I147" s="105">
        <v>0</v>
      </c>
    </row>
    <row r="148" spans="3:9" hidden="1" x14ac:dyDescent="0.25">
      <c r="C148" s="48">
        <f t="shared" si="11"/>
        <v>6.1999999999999993</v>
      </c>
      <c r="D148" s="15" t="s">
        <v>42</v>
      </c>
      <c r="E148" s="90"/>
      <c r="F148" s="90"/>
      <c r="G148" s="90"/>
      <c r="H148" s="90"/>
      <c r="I148" s="105">
        <v>0</v>
      </c>
    </row>
    <row r="149" spans="3:9" hidden="1" x14ac:dyDescent="0.25">
      <c r="C149" s="48">
        <f t="shared" si="11"/>
        <v>6.2999999999999989</v>
      </c>
      <c r="D149" s="15" t="s">
        <v>43</v>
      </c>
      <c r="E149" s="90"/>
      <c r="F149" s="90"/>
      <c r="G149" s="90"/>
      <c r="H149" s="90"/>
      <c r="I149" s="105">
        <v>0</v>
      </c>
    </row>
    <row r="152" spans="3:9" ht="15.75" thickBot="1" x14ac:dyDescent="0.3"/>
    <row r="153" spans="3:9" ht="15.75" customHeight="1" thickBot="1" x14ac:dyDescent="0.3">
      <c r="C153" s="307" t="s">
        <v>140</v>
      </c>
      <c r="D153" s="308"/>
      <c r="E153" s="308"/>
      <c r="F153" s="308"/>
      <c r="G153" s="308"/>
      <c r="H153" s="308"/>
      <c r="I153" s="309"/>
    </row>
    <row r="154" spans="3:9" x14ac:dyDescent="0.25">
      <c r="C154" s="138" t="s">
        <v>0</v>
      </c>
      <c r="D154" s="139" t="s">
        <v>86</v>
      </c>
      <c r="E154" s="140"/>
      <c r="F154" s="141"/>
      <c r="G154" s="141"/>
      <c r="H154" s="141"/>
      <c r="I154" s="176"/>
    </row>
    <row r="155" spans="3:9" x14ac:dyDescent="0.25">
      <c r="C155" s="17">
        <v>1</v>
      </c>
      <c r="D155" s="3" t="s">
        <v>6</v>
      </c>
      <c r="E155" s="76" t="s">
        <v>89</v>
      </c>
      <c r="F155" s="76" t="s">
        <v>90</v>
      </c>
      <c r="G155" s="76" t="s">
        <v>91</v>
      </c>
      <c r="H155" s="76" t="s">
        <v>3</v>
      </c>
      <c r="I155" s="182" t="s">
        <v>92</v>
      </c>
    </row>
    <row r="156" spans="3:9" ht="15.75" thickBot="1" x14ac:dyDescent="0.3">
      <c r="C156" s="64">
        <v>2</v>
      </c>
      <c r="D156" s="53" t="s">
        <v>19</v>
      </c>
      <c r="E156" s="107"/>
      <c r="F156" s="117"/>
      <c r="G156" s="109" t="s">
        <v>55</v>
      </c>
      <c r="H156" s="110"/>
      <c r="I156" s="178"/>
    </row>
    <row r="157" spans="3:9" ht="15.75" thickBot="1" x14ac:dyDescent="0.3">
      <c r="C157" s="155">
        <f>C156+0.01</f>
        <v>2.0099999999999998</v>
      </c>
      <c r="D157" s="156" t="s">
        <v>56</v>
      </c>
      <c r="E157" s="157"/>
      <c r="F157" s="158"/>
      <c r="G157" s="159"/>
      <c r="H157" s="160"/>
      <c r="I157" s="183"/>
    </row>
    <row r="158" spans="3:9" x14ac:dyDescent="0.25">
      <c r="C158" s="148"/>
      <c r="D158" s="149" t="s">
        <v>139</v>
      </c>
      <c r="E158" s="150">
        <v>40</v>
      </c>
      <c r="F158" s="150">
        <v>0.5</v>
      </c>
      <c r="G158" s="150">
        <v>0.6</v>
      </c>
      <c r="H158" s="151"/>
      <c r="I158" s="172"/>
    </row>
    <row r="159" spans="3:9" x14ac:dyDescent="0.25">
      <c r="C159" s="31"/>
      <c r="D159" s="15" t="s">
        <v>143</v>
      </c>
      <c r="E159" s="104">
        <v>1</v>
      </c>
      <c r="F159" s="104">
        <v>0.42</v>
      </c>
      <c r="G159" s="104">
        <v>0.6</v>
      </c>
      <c r="H159" s="104">
        <v>2</v>
      </c>
      <c r="I159" s="165"/>
    </row>
    <row r="160" spans="3:9" x14ac:dyDescent="0.25">
      <c r="C160" s="31"/>
      <c r="D160" s="15" t="s">
        <v>142</v>
      </c>
      <c r="E160" s="104">
        <v>2.5</v>
      </c>
      <c r="F160" s="104">
        <v>0.42</v>
      </c>
      <c r="G160" s="104">
        <v>0.6</v>
      </c>
      <c r="H160" s="104">
        <v>3</v>
      </c>
      <c r="I160" s="165"/>
    </row>
    <row r="161" spans="3:9" x14ac:dyDescent="0.25">
      <c r="C161" s="31"/>
      <c r="D161" s="15" t="s">
        <v>141</v>
      </c>
      <c r="E161" s="104">
        <v>5</v>
      </c>
      <c r="F161" s="104">
        <v>0.42</v>
      </c>
      <c r="G161" s="104">
        <v>0.6</v>
      </c>
      <c r="H161" s="104">
        <v>3</v>
      </c>
      <c r="I161" s="165"/>
    </row>
    <row r="162" spans="3:9" x14ac:dyDescent="0.25">
      <c r="C162" s="31"/>
      <c r="D162" s="15" t="s">
        <v>144</v>
      </c>
      <c r="E162" s="104">
        <v>3.5</v>
      </c>
      <c r="F162" s="104">
        <v>0.42</v>
      </c>
      <c r="G162" s="104">
        <v>0.6</v>
      </c>
      <c r="H162" s="104">
        <v>1</v>
      </c>
      <c r="I162" s="165"/>
    </row>
    <row r="163" spans="3:9" ht="15.75" thickBot="1" x14ac:dyDescent="0.3">
      <c r="C163" s="152"/>
      <c r="D163" s="153" t="s">
        <v>145</v>
      </c>
      <c r="E163" s="154">
        <v>3</v>
      </c>
      <c r="F163" s="154">
        <v>0.42</v>
      </c>
      <c r="G163" s="154">
        <v>0.6</v>
      </c>
      <c r="H163" s="154">
        <v>1</v>
      </c>
      <c r="I163" s="165"/>
    </row>
    <row r="164" spans="3:9" ht="25.5" hidden="1" x14ac:dyDescent="0.25">
      <c r="C164" s="111">
        <f>C157+0.01</f>
        <v>2.0199999999999996</v>
      </c>
      <c r="D164" s="57" t="s">
        <v>57</v>
      </c>
      <c r="E164" s="161"/>
      <c r="F164" s="162"/>
      <c r="G164" s="163"/>
      <c r="H164" s="164"/>
      <c r="I164" s="176"/>
    </row>
    <row r="165" spans="3:9" hidden="1" x14ac:dyDescent="0.25">
      <c r="C165" s="31"/>
      <c r="D165" s="15"/>
      <c r="E165" s="1"/>
      <c r="F165" s="21"/>
      <c r="G165" s="7"/>
      <c r="H165" s="98"/>
      <c r="I165" s="165"/>
    </row>
    <row r="166" spans="3:9" hidden="1" x14ac:dyDescent="0.25">
      <c r="C166" s="106"/>
      <c r="D166" s="72"/>
      <c r="E166" s="107"/>
      <c r="F166" s="108"/>
      <c r="G166" s="109"/>
      <c r="H166" s="110"/>
      <c r="I166" s="178"/>
    </row>
    <row r="167" spans="3:9" ht="26.25" thickBot="1" x14ac:dyDescent="0.3">
      <c r="C167" s="112">
        <f>C164+0.01</f>
        <v>2.0299999999999994</v>
      </c>
      <c r="D167" s="55" t="s">
        <v>58</v>
      </c>
      <c r="E167" s="113"/>
      <c r="F167" s="114"/>
      <c r="G167" s="115"/>
      <c r="H167" s="116"/>
      <c r="I167" s="175"/>
    </row>
    <row r="168" spans="3:9" ht="25.5" hidden="1" x14ac:dyDescent="0.25">
      <c r="C168" s="142">
        <f>C167+0.01</f>
        <v>2.0399999999999991</v>
      </c>
      <c r="D168" s="143" t="s">
        <v>59</v>
      </c>
      <c r="E168" s="144"/>
      <c r="F168" s="145"/>
      <c r="G168" s="146"/>
      <c r="H168" s="147"/>
      <c r="I168" s="177"/>
    </row>
    <row r="169" spans="3:9" x14ac:dyDescent="0.25">
      <c r="C169" s="148"/>
      <c r="D169" s="149" t="s">
        <v>139</v>
      </c>
      <c r="E169" s="150">
        <v>40</v>
      </c>
      <c r="F169" s="150">
        <v>0.5</v>
      </c>
      <c r="G169" s="150">
        <f>+G158-0.2-G176</f>
        <v>0.11999999999999994</v>
      </c>
      <c r="H169" s="151"/>
      <c r="I169" s="172"/>
    </row>
    <row r="170" spans="3:9" x14ac:dyDescent="0.25">
      <c r="C170" s="31"/>
      <c r="D170" s="15" t="s">
        <v>143</v>
      </c>
      <c r="E170" s="104">
        <v>1</v>
      </c>
      <c r="F170" s="104">
        <v>0.42</v>
      </c>
      <c r="G170" s="104">
        <f>+G159-0.2-G178</f>
        <v>0.19999999999999996</v>
      </c>
      <c r="H170" s="104">
        <v>2</v>
      </c>
      <c r="I170" s="165"/>
    </row>
    <row r="171" spans="3:9" x14ac:dyDescent="0.25">
      <c r="C171" s="31"/>
      <c r="D171" s="15" t="s">
        <v>142</v>
      </c>
      <c r="E171" s="104">
        <v>2.5</v>
      </c>
      <c r="F171" s="104">
        <v>0.42</v>
      </c>
      <c r="G171" s="104">
        <f t="shared" ref="G171:G174" si="12">+G160-0.2-G179</f>
        <v>0.19999999999999996</v>
      </c>
      <c r="H171" s="104">
        <v>3</v>
      </c>
      <c r="I171" s="165"/>
    </row>
    <row r="172" spans="3:9" x14ac:dyDescent="0.25">
      <c r="C172" s="31"/>
      <c r="D172" s="15" t="s">
        <v>141</v>
      </c>
      <c r="E172" s="104">
        <v>5</v>
      </c>
      <c r="F172" s="104">
        <v>0.42</v>
      </c>
      <c r="G172" s="104">
        <f t="shared" si="12"/>
        <v>0.19999999999999996</v>
      </c>
      <c r="H172" s="104">
        <v>3</v>
      </c>
      <c r="I172" s="165"/>
    </row>
    <row r="173" spans="3:9" x14ac:dyDescent="0.25">
      <c r="C173" s="31"/>
      <c r="D173" s="15" t="s">
        <v>144</v>
      </c>
      <c r="E173" s="104">
        <v>3.5</v>
      </c>
      <c r="F173" s="104">
        <v>0.42</v>
      </c>
      <c r="G173" s="104">
        <f t="shared" si="12"/>
        <v>0.19999999999999996</v>
      </c>
      <c r="H173" s="104">
        <v>1</v>
      </c>
      <c r="I173" s="165"/>
    </row>
    <row r="174" spans="3:9" ht="15.75" thickBot="1" x14ac:dyDescent="0.3">
      <c r="C174" s="106"/>
      <c r="D174" s="72" t="s">
        <v>145</v>
      </c>
      <c r="E174" s="136">
        <v>3</v>
      </c>
      <c r="F174" s="136">
        <v>0.42</v>
      </c>
      <c r="G174" s="136">
        <f t="shared" si="12"/>
        <v>0.19999999999999996</v>
      </c>
      <c r="H174" s="136">
        <v>1</v>
      </c>
      <c r="I174" s="178"/>
    </row>
    <row r="175" spans="3:9" ht="26.25" thickBot="1" x14ac:dyDescent="0.3">
      <c r="C175" s="112">
        <f>C168+0.01</f>
        <v>2.0499999999999989</v>
      </c>
      <c r="D175" s="55" t="s">
        <v>60</v>
      </c>
      <c r="E175" s="113"/>
      <c r="F175" s="114"/>
      <c r="G175" s="115"/>
      <c r="H175" s="116"/>
      <c r="I175" s="175"/>
    </row>
    <row r="176" spans="3:9" x14ac:dyDescent="0.25">
      <c r="C176" s="148"/>
      <c r="D176" s="149" t="s">
        <v>139</v>
      </c>
      <c r="E176" s="150">
        <v>40</v>
      </c>
      <c r="F176" s="150">
        <v>0.5</v>
      </c>
      <c r="G176" s="150">
        <v>0.28000000000000003</v>
      </c>
      <c r="H176" s="151"/>
      <c r="I176" s="172"/>
    </row>
    <row r="177" spans="3:13" x14ac:dyDescent="0.25">
      <c r="C177" s="31"/>
      <c r="D177" s="15" t="s">
        <v>146</v>
      </c>
      <c r="E177" s="104">
        <f>+E176*-1</f>
        <v>-40</v>
      </c>
      <c r="F177" s="87">
        <f>((+PI())*(0.0381^2))</f>
        <v>4.5603673118774796E-3</v>
      </c>
      <c r="G177" s="104"/>
      <c r="H177" s="103"/>
      <c r="I177" s="165"/>
      <c r="K177" s="78">
        <f>3*2.54</f>
        <v>7.62</v>
      </c>
      <c r="L177" s="78">
        <f>+K177/100</f>
        <v>7.6200000000000004E-2</v>
      </c>
      <c r="M177" s="78">
        <f>+L177/2</f>
        <v>3.8100000000000002E-2</v>
      </c>
    </row>
    <row r="178" spans="3:13" x14ac:dyDescent="0.25">
      <c r="C178" s="31"/>
      <c r="D178" s="15" t="s">
        <v>143</v>
      </c>
      <c r="E178" s="104">
        <v>1</v>
      </c>
      <c r="F178" s="104">
        <v>0.42</v>
      </c>
      <c r="G178" s="104">
        <v>0.2</v>
      </c>
      <c r="H178" s="104">
        <v>2</v>
      </c>
      <c r="I178" s="165"/>
      <c r="K178" s="78">
        <f>0.5*2.54</f>
        <v>1.27</v>
      </c>
      <c r="L178" s="78">
        <f>+K178/100</f>
        <v>1.2699999999999999E-2</v>
      </c>
      <c r="M178" s="78">
        <f>+L178/2</f>
        <v>6.3499999999999997E-3</v>
      </c>
    </row>
    <row r="179" spans="3:13" x14ac:dyDescent="0.25">
      <c r="C179" s="31"/>
      <c r="D179" s="15" t="s">
        <v>142</v>
      </c>
      <c r="E179" s="104">
        <v>2.5</v>
      </c>
      <c r="F179" s="104">
        <v>0.42</v>
      </c>
      <c r="G179" s="104">
        <v>0.2</v>
      </c>
      <c r="H179" s="104">
        <v>3</v>
      </c>
      <c r="I179" s="165"/>
    </row>
    <row r="180" spans="3:13" x14ac:dyDescent="0.25">
      <c r="C180" s="31"/>
      <c r="D180" s="15" t="s">
        <v>141</v>
      </c>
      <c r="E180" s="104">
        <v>5</v>
      </c>
      <c r="F180" s="104">
        <v>0.42</v>
      </c>
      <c r="G180" s="104">
        <v>0.2</v>
      </c>
      <c r="H180" s="104">
        <v>3</v>
      </c>
      <c r="I180" s="165"/>
    </row>
    <row r="181" spans="3:13" x14ac:dyDescent="0.25">
      <c r="C181" s="31"/>
      <c r="D181" s="15" t="s">
        <v>144</v>
      </c>
      <c r="E181" s="104">
        <v>3.5</v>
      </c>
      <c r="F181" s="104">
        <v>0.42</v>
      </c>
      <c r="G181" s="104">
        <v>0.2</v>
      </c>
      <c r="H181" s="104">
        <v>1</v>
      </c>
      <c r="I181" s="165"/>
    </row>
    <row r="182" spans="3:13" x14ac:dyDescent="0.25">
      <c r="C182" s="31"/>
      <c r="D182" s="15" t="s">
        <v>145</v>
      </c>
      <c r="E182" s="104">
        <v>3</v>
      </c>
      <c r="F182" s="104">
        <v>0.42</v>
      </c>
      <c r="G182" s="104">
        <v>0.2</v>
      </c>
      <c r="H182" s="104">
        <v>1</v>
      </c>
      <c r="I182" s="165"/>
    </row>
    <row r="183" spans="3:13" ht="15.75" thickBot="1" x14ac:dyDescent="0.3">
      <c r="C183" s="152"/>
      <c r="D183" s="153" t="s">
        <v>146</v>
      </c>
      <c r="E183" s="154">
        <f>+((E178*H178)+(E179*H179)+(E180*H180)+(E181*H181)+(E182*H182))*-1</f>
        <v>-31</v>
      </c>
      <c r="F183" s="166">
        <f>((+PI())*(0.00635^2))</f>
        <v>1.2667686977437442E-4</v>
      </c>
      <c r="G183" s="154"/>
      <c r="H183" s="154"/>
      <c r="I183" s="167"/>
    </row>
    <row r="184" spans="3:13" ht="26.25" thickBot="1" x14ac:dyDescent="0.3">
      <c r="C184" s="112">
        <f>C175+0.01</f>
        <v>2.0599999999999987</v>
      </c>
      <c r="D184" s="55" t="s">
        <v>61</v>
      </c>
      <c r="E184" s="113"/>
      <c r="F184" s="114"/>
      <c r="G184" s="115"/>
      <c r="H184" s="116"/>
      <c r="I184" s="175"/>
    </row>
    <row r="185" spans="3:13" x14ac:dyDescent="0.25">
      <c r="C185" s="111"/>
      <c r="D185" s="149" t="s">
        <v>139</v>
      </c>
      <c r="E185" s="150">
        <v>40</v>
      </c>
      <c r="F185" s="150">
        <v>0.5</v>
      </c>
      <c r="G185" s="150">
        <v>0.6</v>
      </c>
      <c r="H185" s="151"/>
      <c r="I185" s="176"/>
    </row>
    <row r="186" spans="3:13" x14ac:dyDescent="0.25">
      <c r="C186" s="31"/>
      <c r="D186" s="15" t="s">
        <v>143</v>
      </c>
      <c r="E186" s="104">
        <v>1</v>
      </c>
      <c r="F186" s="104">
        <v>0.42</v>
      </c>
      <c r="G186" s="104">
        <v>0.6</v>
      </c>
      <c r="H186" s="104">
        <v>2</v>
      </c>
      <c r="I186" s="176"/>
    </row>
    <row r="187" spans="3:13" x14ac:dyDescent="0.25">
      <c r="C187" s="31"/>
      <c r="D187" s="15" t="s">
        <v>142</v>
      </c>
      <c r="E187" s="104">
        <v>2.5</v>
      </c>
      <c r="F187" s="104">
        <v>0.42</v>
      </c>
      <c r="G187" s="104">
        <v>0.6</v>
      </c>
      <c r="H187" s="104">
        <v>3</v>
      </c>
      <c r="I187" s="176"/>
    </row>
    <row r="188" spans="3:13" x14ac:dyDescent="0.25">
      <c r="C188" s="31"/>
      <c r="D188" s="15" t="s">
        <v>141</v>
      </c>
      <c r="E188" s="104">
        <v>5</v>
      </c>
      <c r="F188" s="104">
        <v>0.42</v>
      </c>
      <c r="G188" s="104">
        <v>0.6</v>
      </c>
      <c r="H188" s="104">
        <v>3</v>
      </c>
      <c r="I188" s="176"/>
    </row>
    <row r="189" spans="3:13" x14ac:dyDescent="0.25">
      <c r="C189" s="31"/>
      <c r="D189" s="15" t="s">
        <v>144</v>
      </c>
      <c r="E189" s="104">
        <v>3.5</v>
      </c>
      <c r="F189" s="104">
        <v>0.42</v>
      </c>
      <c r="G189" s="104">
        <v>0.6</v>
      </c>
      <c r="H189" s="104">
        <v>1</v>
      </c>
      <c r="I189" s="176"/>
    </row>
    <row r="190" spans="3:13" ht="15.75" thickBot="1" x14ac:dyDescent="0.3">
      <c r="C190" s="31"/>
      <c r="D190" s="15" t="s">
        <v>145</v>
      </c>
      <c r="E190" s="104">
        <v>3</v>
      </c>
      <c r="F190" s="104">
        <v>0.42</v>
      </c>
      <c r="G190" s="104">
        <v>0.6</v>
      </c>
      <c r="H190" s="104">
        <v>1</v>
      </c>
      <c r="I190" s="176"/>
    </row>
    <row r="191" spans="3:13" hidden="1" x14ac:dyDescent="0.25">
      <c r="C191" s="17">
        <v>3</v>
      </c>
      <c r="D191" s="18" t="s">
        <v>62</v>
      </c>
      <c r="E191" s="1"/>
      <c r="F191" s="74"/>
      <c r="G191" s="7"/>
      <c r="H191" s="98"/>
      <c r="I191" s="165"/>
    </row>
    <row r="192" spans="3:13" hidden="1" x14ac:dyDescent="0.25">
      <c r="C192" s="31">
        <f>C191+0.01</f>
        <v>3.01</v>
      </c>
      <c r="D192" s="15" t="s">
        <v>63</v>
      </c>
      <c r="E192" s="1"/>
      <c r="F192" s="21"/>
      <c r="G192" s="7"/>
      <c r="H192" s="98"/>
      <c r="I192" s="165"/>
    </row>
    <row r="193" spans="3:9" hidden="1" x14ac:dyDescent="0.25">
      <c r="C193" s="31">
        <f t="shared" ref="C193:C195" si="13">C192+0.01</f>
        <v>3.0199999999999996</v>
      </c>
      <c r="D193" s="15" t="s">
        <v>64</v>
      </c>
      <c r="E193" s="1"/>
      <c r="F193" s="21"/>
      <c r="G193" s="7"/>
      <c r="H193" s="98"/>
      <c r="I193" s="165"/>
    </row>
    <row r="194" spans="3:9" ht="25.5" hidden="1" x14ac:dyDescent="0.25">
      <c r="C194" s="31">
        <f t="shared" si="13"/>
        <v>3.0299999999999994</v>
      </c>
      <c r="D194" s="15" t="s">
        <v>65</v>
      </c>
      <c r="E194" s="1"/>
      <c r="F194" s="21"/>
      <c r="G194" s="7"/>
      <c r="H194" s="98"/>
      <c r="I194" s="165"/>
    </row>
    <row r="195" spans="3:9" ht="25.5" hidden="1" x14ac:dyDescent="0.25">
      <c r="C195" s="106">
        <f t="shared" si="13"/>
        <v>3.0399999999999991</v>
      </c>
      <c r="D195" s="72" t="s">
        <v>66</v>
      </c>
      <c r="E195" s="107"/>
      <c r="F195" s="108"/>
      <c r="G195" s="109"/>
      <c r="H195" s="110"/>
      <c r="I195" s="178"/>
    </row>
    <row r="196" spans="3:9" ht="26.25" thickBot="1" x14ac:dyDescent="0.3">
      <c r="C196" s="169">
        <v>4</v>
      </c>
      <c r="D196" s="170" t="s">
        <v>67</v>
      </c>
      <c r="E196" s="113"/>
      <c r="F196" s="171"/>
      <c r="G196" s="115"/>
      <c r="H196" s="116"/>
      <c r="I196" s="179"/>
    </row>
    <row r="197" spans="3:9" ht="25.5" hidden="1" x14ac:dyDescent="0.25">
      <c r="C197" s="111">
        <f>C196+0.01</f>
        <v>4.01</v>
      </c>
      <c r="D197" s="168" t="s">
        <v>68</v>
      </c>
      <c r="E197" s="161"/>
      <c r="F197" s="162"/>
      <c r="G197" s="163"/>
      <c r="H197" s="164"/>
      <c r="I197" s="176"/>
    </row>
    <row r="198" spans="3:9" hidden="1" x14ac:dyDescent="0.25">
      <c r="C198" s="31">
        <f t="shared" ref="C198:C201" si="14">C197+0.01</f>
        <v>4.0199999999999996</v>
      </c>
      <c r="D198" s="36" t="s">
        <v>69</v>
      </c>
      <c r="E198" s="1"/>
      <c r="F198" s="21"/>
      <c r="G198" s="7"/>
      <c r="H198" s="98"/>
      <c r="I198" s="165"/>
    </row>
    <row r="199" spans="3:9" hidden="1" x14ac:dyDescent="0.25">
      <c r="C199" s="106">
        <f t="shared" si="14"/>
        <v>4.0299999999999994</v>
      </c>
      <c r="D199" s="130" t="s">
        <v>70</v>
      </c>
      <c r="E199" s="107"/>
      <c r="F199" s="108"/>
      <c r="G199" s="109"/>
      <c r="H199" s="110"/>
      <c r="I199" s="178"/>
    </row>
    <row r="200" spans="3:9" ht="26.25" thickBot="1" x14ac:dyDescent="0.3">
      <c r="C200" s="112">
        <f t="shared" si="14"/>
        <v>4.0399999999999991</v>
      </c>
      <c r="D200" s="131" t="s">
        <v>71</v>
      </c>
      <c r="E200" s="113">
        <v>40</v>
      </c>
      <c r="F200" s="114"/>
      <c r="G200" s="115"/>
      <c r="H200" s="116"/>
      <c r="I200" s="175"/>
    </row>
    <row r="201" spans="3:9" ht="39" thickBot="1" x14ac:dyDescent="0.3">
      <c r="C201" s="112">
        <f t="shared" si="14"/>
        <v>4.0499999999999989</v>
      </c>
      <c r="D201" s="131" t="s">
        <v>72</v>
      </c>
      <c r="E201" s="113"/>
      <c r="F201" s="114"/>
      <c r="G201" s="115"/>
      <c r="H201" s="135">
        <v>10</v>
      </c>
      <c r="I201" s="184"/>
    </row>
    <row r="202" spans="3:9" hidden="1" x14ac:dyDescent="0.25">
      <c r="C202" s="111"/>
      <c r="D202" s="132"/>
      <c r="E202" s="44"/>
      <c r="F202" s="45"/>
      <c r="G202" s="133"/>
      <c r="H202" s="134"/>
      <c r="I202" s="181"/>
    </row>
  </sheetData>
  <mergeCells count="2">
    <mergeCell ref="C2:I2"/>
    <mergeCell ref="C153:I15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CONSORCIO HG</vt:lpstr>
      <vt:lpstr>memorias de calculo</vt:lpstr>
      <vt:lpstr>'CONSORCIO HG'!Área_de_impresión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Soly M. Moreno Sierra</cp:lastModifiedBy>
  <cp:lastPrinted>2019-05-29T16:21:24Z</cp:lastPrinted>
  <dcterms:created xsi:type="dcterms:W3CDTF">2014-03-25T19:56:57Z</dcterms:created>
  <dcterms:modified xsi:type="dcterms:W3CDTF">2022-05-11T19:24:47Z</dcterms:modified>
</cp:coreProperties>
</file>