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morenosm\Desktop\1 CONTROL DOCUMENTOS Y REGISTROS\210 OFICINA DE PLANEACIÓN INSTITUCIONAL\6 SG\1 Control de Documentos y Registros\FORMATOS UNIVERSALES -SGI\"/>
    </mc:Choice>
  </mc:AlternateContent>
  <xr:revisionPtr revIDLastSave="0" documentId="8_{AA2FD41D-2513-49FA-AE64-BD7145727255}" xr6:coauthVersionLast="47" xr6:coauthVersionMax="47" xr10:uidLastSave="{00000000-0000-0000-0000-000000000000}"/>
  <bookViews>
    <workbookView xWindow="-120" yWindow="-120" windowWidth="24240" windowHeight="13140" firstSheet="9" activeTab="9" xr2:uid="{00000000-000D-0000-FFFF-FFFF00000000}"/>
  </bookViews>
  <sheets>
    <sheet name="PPTO" sheetId="9" state="hidden" r:id="rId1"/>
    <sheet name="NP APU" sheetId="14" state="hidden" r:id="rId2"/>
    <sheet name="APU OBRA" sheetId="2" state="hidden" r:id="rId3"/>
    <sheet name="PROYECCION" sheetId="13" state="hidden" r:id="rId4"/>
    <sheet name="MAYORES Y MENORES 1" sheetId="15" state="hidden" r:id="rId5"/>
    <sheet name="ACTA 2" sheetId="11" state="hidden" r:id="rId6"/>
    <sheet name="BALANCE" sheetId="10" state="hidden" r:id="rId7"/>
    <sheet name="MAYORES Y MENORES 2" sheetId="17" state="hidden" r:id="rId8"/>
    <sheet name="ACTA 02" sheetId="16" state="hidden" r:id="rId9"/>
    <sheet name="Actas de may y men&quot;" sheetId="18" r:id="rId10"/>
    <sheet name="Acta de pago" sheetId="19" r:id="rId11"/>
    <sheet name="Acta de pago 2" sheetId="20" r:id="rId12"/>
    <sheet name="MEMORIAS" sheetId="12" state="hidden" r:id="rId13"/>
    <sheet name="MATERIALES" sheetId="3" state="hidden" r:id="rId14"/>
    <sheet name="TRANSPORTE" sheetId="6" state="hidden" r:id="rId15"/>
    <sheet name="EQUIPO" sheetId="5" state="hidden" r:id="rId16"/>
    <sheet name="MANO DE OBRA" sheetId="4" state="hidden" r:id="rId17"/>
  </sheets>
  <externalReferences>
    <externalReference r:id="rId18"/>
  </externalReferences>
  <definedNames>
    <definedName name="_xlnm.Print_Area" localSheetId="8">'ACTA 02'!$A$1:$N$82</definedName>
    <definedName name="_xlnm.Print_Area" localSheetId="5">'ACTA 2'!$A$1:$N$83</definedName>
    <definedName name="_xlnm.Print_Area" localSheetId="9">'Actas de may y men"'!$A$1:$P$88</definedName>
    <definedName name="_xlnm.Print_Area" localSheetId="2">'APU OBRA'!$B$1:$M$1201</definedName>
    <definedName name="_xlnm.Print_Area" localSheetId="6">BALANCE!$A$1:$I$52</definedName>
    <definedName name="_xlnm.Print_Area" localSheetId="4">'MAYORES Y MENORES 1'!$A$1:$L$79</definedName>
    <definedName name="_xlnm.Print_Area" localSheetId="7">'MAYORES Y MENORES 2'!$A$1:$P$82</definedName>
    <definedName name="_xlnm.Print_Area" localSheetId="12">MEMORIAS!$B$3:$J$522</definedName>
    <definedName name="_xlnm.Print_Area" localSheetId="1">'NP APU'!$B$1:$M$1268</definedName>
    <definedName name="_xlnm.Print_Area" localSheetId="0">PPTO!$A$1:$F$51</definedName>
    <definedName name="_xlnm.Print_Area" localSheetId="3">PROYECCION!$A$1:$N$82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8" i="19" l="1"/>
  <c r="M76" i="18"/>
  <c r="M77" i="18" s="1"/>
  <c r="M75" i="18"/>
  <c r="M74" i="18"/>
  <c r="K71" i="18"/>
  <c r="I71" i="18"/>
  <c r="G71" i="18"/>
  <c r="K70" i="18"/>
  <c r="I70" i="18"/>
  <c r="G70" i="18"/>
  <c r="M72" i="18"/>
  <c r="K69" i="18"/>
  <c r="K72" i="18" s="1"/>
  <c r="I69" i="18"/>
  <c r="G69" i="18"/>
  <c r="G72" i="18" s="1"/>
  <c r="K59" i="18"/>
  <c r="K54" i="18"/>
  <c r="I54" i="18"/>
  <c r="G54" i="18"/>
  <c r="K26" i="18"/>
  <c r="I26" i="18"/>
  <c r="G26" i="18"/>
  <c r="G40" i="18" l="1"/>
  <c r="I67" i="18"/>
  <c r="I40" i="18"/>
  <c r="K67" i="18"/>
  <c r="I72" i="18"/>
  <c r="M78" i="18"/>
  <c r="M79" i="18" s="1"/>
  <c r="L8" i="18" s="1"/>
  <c r="K40" i="18"/>
  <c r="I59" i="18"/>
  <c r="G59" i="18"/>
  <c r="G67" i="18"/>
  <c r="M54" i="18"/>
  <c r="K73" i="18"/>
  <c r="M59" i="18"/>
  <c r="M67" i="18"/>
  <c r="G73" i="18"/>
  <c r="M26" i="18"/>
  <c r="M40" i="18"/>
  <c r="I73" i="18" l="1"/>
  <c r="I76" i="18" s="1"/>
  <c r="I77" i="18" s="1"/>
  <c r="K76" i="18"/>
  <c r="K77" i="18" s="1"/>
  <c r="K75" i="18"/>
  <c r="K74" i="18"/>
  <c r="K78" i="18" s="1"/>
  <c r="G76" i="18"/>
  <c r="G77" i="18" s="1"/>
  <c r="G75" i="18"/>
  <c r="G74" i="18"/>
  <c r="I74" i="18" l="1"/>
  <c r="I75" i="18"/>
  <c r="G78" i="18"/>
  <c r="M80" i="18" s="1"/>
  <c r="I78" i="18" l="1"/>
  <c r="K104" i="20" l="1"/>
  <c r="I103" i="20"/>
  <c r="G103" i="20"/>
  <c r="I102" i="20"/>
  <c r="G102" i="20"/>
  <c r="I101" i="20"/>
  <c r="G101" i="20"/>
  <c r="F100" i="20"/>
  <c r="I100" i="20" s="1"/>
  <c r="B100" i="20"/>
  <c r="B101" i="20" s="1"/>
  <c r="B102" i="20" s="1"/>
  <c r="B103" i="20" s="1"/>
  <c r="F97" i="20"/>
  <c r="K97" i="20" s="1"/>
  <c r="F96" i="20"/>
  <c r="I96" i="20" s="1"/>
  <c r="F95" i="20"/>
  <c r="I95" i="20" s="1"/>
  <c r="B95" i="20"/>
  <c r="B96" i="20" s="1"/>
  <c r="B97" i="20" s="1"/>
  <c r="K92" i="20"/>
  <c r="H92" i="20"/>
  <c r="I92" i="20" s="1"/>
  <c r="G92" i="20"/>
  <c r="K91" i="20"/>
  <c r="H91" i="20"/>
  <c r="I91" i="20" s="1"/>
  <c r="G91" i="20"/>
  <c r="K90" i="20"/>
  <c r="I90" i="20"/>
  <c r="G90" i="20"/>
  <c r="K89" i="20"/>
  <c r="I89" i="20"/>
  <c r="G89" i="20"/>
  <c r="K88" i="20"/>
  <c r="I88" i="20"/>
  <c r="G88" i="20"/>
  <c r="B88" i="20"/>
  <c r="B89" i="20" s="1"/>
  <c r="B90" i="20" s="1"/>
  <c r="B91" i="20" s="1"/>
  <c r="B92" i="20" s="1"/>
  <c r="K85" i="20"/>
  <c r="I85" i="20"/>
  <c r="G85" i="20"/>
  <c r="F84" i="20"/>
  <c r="I84" i="20" s="1"/>
  <c r="K83" i="20"/>
  <c r="I83" i="20"/>
  <c r="G83" i="20"/>
  <c r="K82" i="20"/>
  <c r="I82" i="20"/>
  <c r="G82" i="20"/>
  <c r="B82" i="20"/>
  <c r="B83" i="20" s="1"/>
  <c r="B84" i="20" s="1"/>
  <c r="B85" i="20" s="1"/>
  <c r="H79" i="20"/>
  <c r="F79" i="20"/>
  <c r="G79" i="20" s="1"/>
  <c r="K78" i="20"/>
  <c r="H78" i="20"/>
  <c r="I78" i="20" s="1"/>
  <c r="G78" i="20"/>
  <c r="F77" i="20"/>
  <c r="G77" i="20" s="1"/>
  <c r="H76" i="20"/>
  <c r="F76" i="20"/>
  <c r="G76" i="20" s="1"/>
  <c r="F75" i="20"/>
  <c r="I75" i="20" s="1"/>
  <c r="I74" i="20"/>
  <c r="H74" i="20"/>
  <c r="F74" i="20"/>
  <c r="G74" i="20" s="1"/>
  <c r="B74" i="20"/>
  <c r="B75" i="20" s="1"/>
  <c r="B76" i="20" s="1"/>
  <c r="B77" i="20" s="1"/>
  <c r="B78" i="20" s="1"/>
  <c r="B79" i="20" s="1"/>
  <c r="K71" i="20"/>
  <c r="F71" i="20"/>
  <c r="G71" i="20" s="1"/>
  <c r="K70" i="20"/>
  <c r="I70" i="20"/>
  <c r="G70" i="20"/>
  <c r="F69" i="20"/>
  <c r="K69" i="20" s="1"/>
  <c r="F68" i="20"/>
  <c r="G68" i="20" s="1"/>
  <c r="F67" i="20"/>
  <c r="I67" i="20" s="1"/>
  <c r="F66" i="20"/>
  <c r="G66" i="20" s="1"/>
  <c r="K65" i="20"/>
  <c r="I65" i="20"/>
  <c r="G65" i="20"/>
  <c r="B65" i="20"/>
  <c r="B66" i="20" s="1"/>
  <c r="B67" i="20" s="1"/>
  <c r="B68" i="20" s="1"/>
  <c r="B69" i="20" s="1"/>
  <c r="B70" i="20" s="1"/>
  <c r="B71" i="20" s="1"/>
  <c r="H54" i="20"/>
  <c r="J54" i="20" s="1"/>
  <c r="G54" i="20"/>
  <c r="H53" i="20"/>
  <c r="K53" i="20" s="1"/>
  <c r="G53" i="20"/>
  <c r="H52" i="20"/>
  <c r="K52" i="20" s="1"/>
  <c r="G52" i="20"/>
  <c r="B52" i="20"/>
  <c r="B53" i="20" s="1"/>
  <c r="B54" i="20" s="1"/>
  <c r="J49" i="20"/>
  <c r="K49" i="20" s="1"/>
  <c r="I49" i="20"/>
  <c r="G49" i="20"/>
  <c r="J48" i="20"/>
  <c r="K48" i="20" s="1"/>
  <c r="I48" i="20"/>
  <c r="G48" i="20"/>
  <c r="H47" i="20"/>
  <c r="I47" i="20" s="1"/>
  <c r="G47" i="20"/>
  <c r="B47" i="20"/>
  <c r="B48" i="20" s="1"/>
  <c r="B49" i="20" s="1"/>
  <c r="K44" i="20"/>
  <c r="J44" i="20"/>
  <c r="I44" i="20"/>
  <c r="G44" i="20"/>
  <c r="K43" i="20"/>
  <c r="J43" i="20"/>
  <c r="I43" i="20"/>
  <c r="G43" i="20"/>
  <c r="K42" i="20"/>
  <c r="J42" i="20"/>
  <c r="I42" i="20"/>
  <c r="G42" i="20"/>
  <c r="K41" i="20"/>
  <c r="J41" i="20"/>
  <c r="I41" i="20"/>
  <c r="G41" i="20"/>
  <c r="J40" i="20"/>
  <c r="H40" i="20"/>
  <c r="K40" i="20" s="1"/>
  <c r="G40" i="20"/>
  <c r="B40" i="20"/>
  <c r="B41" i="20" s="1"/>
  <c r="B42" i="20" s="1"/>
  <c r="B43" i="20" s="1"/>
  <c r="B44" i="20" s="1"/>
  <c r="H37" i="20"/>
  <c r="I37" i="20" s="1"/>
  <c r="I38" i="20" s="1"/>
  <c r="G37" i="20"/>
  <c r="G38" i="20" s="1"/>
  <c r="B37" i="20"/>
  <c r="H34" i="20"/>
  <c r="K34" i="20" s="1"/>
  <c r="G34" i="20"/>
  <c r="K33" i="20"/>
  <c r="J33" i="20"/>
  <c r="I33" i="20"/>
  <c r="G33" i="20"/>
  <c r="H32" i="20"/>
  <c r="I32" i="20" s="1"/>
  <c r="G32" i="20"/>
  <c r="H31" i="20"/>
  <c r="I31" i="20" s="1"/>
  <c r="G31" i="20"/>
  <c r="H30" i="20"/>
  <c r="I30" i="20" s="1"/>
  <c r="G30" i="20"/>
  <c r="H29" i="20"/>
  <c r="K29" i="20" s="1"/>
  <c r="G29" i="20"/>
  <c r="H28" i="20"/>
  <c r="I28" i="20" s="1"/>
  <c r="G28" i="20"/>
  <c r="B28" i="20"/>
  <c r="B29" i="20" s="1"/>
  <c r="B30" i="20" s="1"/>
  <c r="B31" i="20" s="1"/>
  <c r="B32" i="20" s="1"/>
  <c r="B33" i="20" s="1"/>
  <c r="B34" i="20" s="1"/>
  <c r="H25" i="20"/>
  <c r="J25" i="20" s="1"/>
  <c r="G25" i="20"/>
  <c r="H24" i="20"/>
  <c r="K24" i="20" s="1"/>
  <c r="G24" i="20"/>
  <c r="K23" i="20"/>
  <c r="J23" i="20"/>
  <c r="I23" i="20"/>
  <c r="G23" i="20"/>
  <c r="H22" i="20"/>
  <c r="K22" i="20" s="1"/>
  <c r="G22" i="20"/>
  <c r="H21" i="20"/>
  <c r="I21" i="20" s="1"/>
  <c r="G21" i="20"/>
  <c r="H20" i="20"/>
  <c r="K20" i="20" s="1"/>
  <c r="G20" i="20"/>
  <c r="H19" i="20"/>
  <c r="I19" i="20" s="1"/>
  <c r="G19" i="20"/>
  <c r="B19" i="20"/>
  <c r="B20" i="20" s="1"/>
  <c r="B21" i="20" s="1"/>
  <c r="B22" i="20" s="1"/>
  <c r="B23" i="20" s="1"/>
  <c r="B24" i="20" s="1"/>
  <c r="B25" i="20" s="1"/>
  <c r="H86" i="19"/>
  <c r="F66" i="19"/>
  <c r="K65" i="19"/>
  <c r="L65" i="19" s="1"/>
  <c r="K64" i="19"/>
  <c r="L64" i="19" s="1"/>
  <c r="K63" i="19"/>
  <c r="L63" i="19" s="1"/>
  <c r="K62" i="19"/>
  <c r="L62" i="19" s="1"/>
  <c r="K61" i="19"/>
  <c r="L61" i="19" s="1"/>
  <c r="K60" i="19"/>
  <c r="L60" i="19" s="1"/>
  <c r="K59" i="19"/>
  <c r="L59" i="19" s="1"/>
  <c r="K58" i="19"/>
  <c r="L58" i="19" s="1"/>
  <c r="K57" i="19"/>
  <c r="L57" i="19" s="1"/>
  <c r="K54" i="19"/>
  <c r="L54" i="19" s="1"/>
  <c r="K53" i="19"/>
  <c r="L53" i="19" s="1"/>
  <c r="G51" i="19"/>
  <c r="K50" i="19"/>
  <c r="L50" i="19" s="1"/>
  <c r="K49" i="19"/>
  <c r="L49" i="19" s="1"/>
  <c r="K48" i="19"/>
  <c r="L48" i="19" s="1"/>
  <c r="K46" i="19"/>
  <c r="L46" i="19" s="1"/>
  <c r="K45" i="19"/>
  <c r="L45" i="19" s="1"/>
  <c r="K44" i="19"/>
  <c r="L44" i="19" s="1"/>
  <c r="K41" i="19"/>
  <c r="L41" i="19" s="1"/>
  <c r="K38" i="19"/>
  <c r="L38" i="19" s="1"/>
  <c r="K37" i="19"/>
  <c r="L37" i="19" s="1"/>
  <c r="K36" i="19"/>
  <c r="L36" i="19" s="1"/>
  <c r="K35" i="19"/>
  <c r="L35" i="19" s="1"/>
  <c r="K34" i="19"/>
  <c r="L34" i="19" s="1"/>
  <c r="K33" i="19"/>
  <c r="L33" i="19" s="1"/>
  <c r="K32" i="19"/>
  <c r="L32" i="19" s="1"/>
  <c r="K31" i="19"/>
  <c r="L31" i="19" s="1"/>
  <c r="K30" i="19"/>
  <c r="L30" i="19" s="1"/>
  <c r="K27" i="19"/>
  <c r="L27" i="19" s="1"/>
  <c r="K26" i="19"/>
  <c r="L26" i="19" s="1"/>
  <c r="K25" i="19"/>
  <c r="L25" i="19" s="1"/>
  <c r="K22" i="19"/>
  <c r="L22" i="19" s="1"/>
  <c r="K21" i="19"/>
  <c r="L21" i="19" s="1"/>
  <c r="K20" i="19"/>
  <c r="L20" i="19" s="1"/>
  <c r="G18" i="19"/>
  <c r="F18" i="19"/>
  <c r="K17" i="19"/>
  <c r="L17" i="19" s="1"/>
  <c r="K16" i="19"/>
  <c r="L16" i="19" s="1"/>
  <c r="K15" i="19"/>
  <c r="L15" i="19" s="1"/>
  <c r="K14" i="19"/>
  <c r="L14" i="19" s="1"/>
  <c r="L1240" i="14"/>
  <c r="E1240" i="14"/>
  <c r="D1240" i="14"/>
  <c r="E1239" i="14"/>
  <c r="D1239" i="14"/>
  <c r="H1264" i="14"/>
  <c r="J1264" i="14" s="1"/>
  <c r="L1264" i="14" s="1"/>
  <c r="F1264" i="14"/>
  <c r="D1264" i="14"/>
  <c r="H1263" i="14"/>
  <c r="J1263" i="14" s="1"/>
  <c r="L1263" i="14" s="1"/>
  <c r="F1263" i="14"/>
  <c r="D1263" i="14"/>
  <c r="L1259" i="14"/>
  <c r="L1251" i="14"/>
  <c r="L1253" i="14" s="1"/>
  <c r="C1238" i="14"/>
  <c r="F65" i="17"/>
  <c r="J52" i="20" l="1"/>
  <c r="K75" i="20"/>
  <c r="I77" i="20"/>
  <c r="G100" i="20"/>
  <c r="K37" i="20"/>
  <c r="K38" i="20" s="1"/>
  <c r="I40" i="20"/>
  <c r="I45" i="20" s="1"/>
  <c r="I50" i="20"/>
  <c r="K54" i="20"/>
  <c r="I52" i="20"/>
  <c r="K95" i="20"/>
  <c r="K98" i="20" s="1"/>
  <c r="I54" i="20"/>
  <c r="I66" i="20"/>
  <c r="G75" i="20"/>
  <c r="K79" i="20"/>
  <c r="G97" i="20"/>
  <c r="J32" i="20"/>
  <c r="I79" i="20"/>
  <c r="G35" i="20"/>
  <c r="K45" i="20"/>
  <c r="K66" i="20"/>
  <c r="G96" i="20"/>
  <c r="K96" i="20"/>
  <c r="G26" i="20"/>
  <c r="K55" i="20"/>
  <c r="K67" i="20"/>
  <c r="I71" i="20"/>
  <c r="I97" i="20"/>
  <c r="I98" i="20" s="1"/>
  <c r="G45" i="20"/>
  <c r="G50" i="20"/>
  <c r="G55" i="20"/>
  <c r="G67" i="20"/>
  <c r="G72" i="20" s="1"/>
  <c r="K77" i="20"/>
  <c r="K84" i="20"/>
  <c r="I104" i="20"/>
  <c r="K30" i="20"/>
  <c r="I86" i="20"/>
  <c r="G93" i="20"/>
  <c r="G104" i="20"/>
  <c r="F23" i="19"/>
  <c r="K42" i="19"/>
  <c r="L42" i="19" s="1"/>
  <c r="F55" i="19"/>
  <c r="J28" i="19"/>
  <c r="K43" i="19"/>
  <c r="L43" i="19" s="1"/>
  <c r="F28" i="19"/>
  <c r="J66" i="19"/>
  <c r="L23" i="19"/>
  <c r="H23" i="19"/>
  <c r="J18" i="19"/>
  <c r="H18" i="19"/>
  <c r="J23" i="19"/>
  <c r="H28" i="19"/>
  <c r="K47" i="19"/>
  <c r="L47" i="19" s="1"/>
  <c r="H66" i="19"/>
  <c r="F51" i="19"/>
  <c r="L66" i="19"/>
  <c r="J55" i="19"/>
  <c r="J19" i="20"/>
  <c r="I22" i="20"/>
  <c r="I24" i="20"/>
  <c r="I93" i="20"/>
  <c r="K19" i="20"/>
  <c r="J22" i="20"/>
  <c r="J24" i="20"/>
  <c r="J30" i="20"/>
  <c r="K32" i="20"/>
  <c r="J37" i="20"/>
  <c r="J28" i="20"/>
  <c r="J20" i="20"/>
  <c r="J21" i="20"/>
  <c r="I25" i="20"/>
  <c r="K28" i="20"/>
  <c r="I29" i="20"/>
  <c r="K31" i="20"/>
  <c r="J31" i="20"/>
  <c r="J34" i="20"/>
  <c r="I34" i="20"/>
  <c r="G80" i="20"/>
  <c r="I76" i="20"/>
  <c r="K93" i="20"/>
  <c r="K68" i="20"/>
  <c r="I68" i="20"/>
  <c r="I20" i="20"/>
  <c r="K21" i="20"/>
  <c r="K25" i="20"/>
  <c r="J29" i="20"/>
  <c r="K47" i="20"/>
  <c r="K50" i="20" s="1"/>
  <c r="J47" i="20"/>
  <c r="J53" i="20"/>
  <c r="I53" i="20"/>
  <c r="I69" i="20"/>
  <c r="G69" i="20"/>
  <c r="K76" i="20"/>
  <c r="K74" i="20"/>
  <c r="G84" i="20"/>
  <c r="G86" i="20" s="1"/>
  <c r="G95" i="20"/>
  <c r="G98" i="20" s="1"/>
  <c r="L18" i="19"/>
  <c r="L28" i="19"/>
  <c r="L55" i="19"/>
  <c r="K39" i="19"/>
  <c r="L39" i="19" s="1"/>
  <c r="K40" i="19"/>
  <c r="L40" i="19" s="1"/>
  <c r="L1266" i="14"/>
  <c r="H518" i="12"/>
  <c r="H517" i="12"/>
  <c r="K26" i="20" l="1"/>
  <c r="K35" i="20"/>
  <c r="K72" i="20"/>
  <c r="I55" i="20"/>
  <c r="I72" i="20"/>
  <c r="I80" i="20"/>
  <c r="K80" i="20"/>
  <c r="K105" i="20" s="1"/>
  <c r="I26" i="20"/>
  <c r="G56" i="20"/>
  <c r="H51" i="19"/>
  <c r="F68" i="19"/>
  <c r="F71" i="19" s="1"/>
  <c r="L51" i="19"/>
  <c r="L68" i="19" s="1"/>
  <c r="J51" i="19"/>
  <c r="J86" i="19" s="1"/>
  <c r="J87" i="19" s="1"/>
  <c r="H55" i="19"/>
  <c r="H68" i="19"/>
  <c r="H69" i="19" s="1"/>
  <c r="I35" i="20"/>
  <c r="G105" i="20"/>
  <c r="K56" i="20"/>
  <c r="K1246" i="14"/>
  <c r="L1246" i="14" s="1"/>
  <c r="L1247" i="14" s="1"/>
  <c r="K1268" i="14" s="1"/>
  <c r="G98" i="12"/>
  <c r="G511" i="12"/>
  <c r="B511" i="12"/>
  <c r="G498" i="12"/>
  <c r="B498" i="12"/>
  <c r="G485" i="12"/>
  <c r="B485" i="12"/>
  <c r="H519" i="12"/>
  <c r="H503" i="12"/>
  <c r="H506" i="12" s="1"/>
  <c r="H490" i="12"/>
  <c r="H493" i="12" s="1"/>
  <c r="G473" i="12"/>
  <c r="B473" i="12"/>
  <c r="H478" i="12"/>
  <c r="H481" i="12" s="1"/>
  <c r="N13" i="17"/>
  <c r="H1230" i="14"/>
  <c r="J1230" i="14" s="1"/>
  <c r="L1230" i="14" s="1"/>
  <c r="F1230" i="14"/>
  <c r="D1230" i="14"/>
  <c r="J1217" i="14"/>
  <c r="L1217" i="14" s="1"/>
  <c r="L1219" i="14" s="1"/>
  <c r="H1217" i="14"/>
  <c r="D1217" i="14"/>
  <c r="C1217" i="14"/>
  <c r="L1206" i="14"/>
  <c r="E1206" i="14"/>
  <c r="D1206" i="14"/>
  <c r="E1205" i="14"/>
  <c r="D1205" i="14"/>
  <c r="H1229" i="14"/>
  <c r="J1229" i="14" s="1"/>
  <c r="L1229" i="14" s="1"/>
  <c r="F1229" i="14"/>
  <c r="D1229" i="14"/>
  <c r="L1225" i="14"/>
  <c r="C1204" i="14"/>
  <c r="N53" i="17"/>
  <c r="N52" i="17"/>
  <c r="N30" i="17"/>
  <c r="N31" i="17"/>
  <c r="N32" i="17"/>
  <c r="N33" i="17"/>
  <c r="N34" i="17"/>
  <c r="N35" i="17"/>
  <c r="N36" i="17"/>
  <c r="N37" i="17"/>
  <c r="N38" i="17"/>
  <c r="N39" i="17"/>
  <c r="N40" i="17"/>
  <c r="N41" i="17"/>
  <c r="N42" i="17"/>
  <c r="N43" i="17"/>
  <c r="N44" i="17"/>
  <c r="N45" i="17"/>
  <c r="N46" i="17"/>
  <c r="N47" i="17"/>
  <c r="N48" i="17"/>
  <c r="N49" i="17"/>
  <c r="N29" i="17"/>
  <c r="N25" i="17"/>
  <c r="N26" i="17"/>
  <c r="N24" i="17"/>
  <c r="N20" i="17"/>
  <c r="N21" i="17"/>
  <c r="N19" i="17"/>
  <c r="N16" i="17"/>
  <c r="N14" i="17"/>
  <c r="N15" i="17"/>
  <c r="I105" i="20" l="1"/>
  <c r="I108" i="20" s="1"/>
  <c r="I56" i="20"/>
  <c r="I57" i="20" s="1"/>
  <c r="I106" i="20"/>
  <c r="G57" i="20"/>
  <c r="G58" i="20"/>
  <c r="G59" i="20"/>
  <c r="F70" i="19"/>
  <c r="F69" i="19"/>
  <c r="F86" i="19"/>
  <c r="L86" i="19"/>
  <c r="L87" i="19" s="1"/>
  <c r="L88" i="19" s="1"/>
  <c r="J68" i="19"/>
  <c r="J71" i="19" s="1"/>
  <c r="F72" i="19"/>
  <c r="F73" i="19" s="1"/>
  <c r="H70" i="19"/>
  <c r="H71" i="19"/>
  <c r="K57" i="20"/>
  <c r="K58" i="20"/>
  <c r="K59" i="20"/>
  <c r="I58" i="20"/>
  <c r="G108" i="20"/>
  <c r="G106" i="20"/>
  <c r="G107" i="20"/>
  <c r="K106" i="20"/>
  <c r="K107" i="20"/>
  <c r="K108" i="20"/>
  <c r="L69" i="19"/>
  <c r="L70" i="19"/>
  <c r="L71" i="19"/>
  <c r="E64" i="17"/>
  <c r="N64" i="17" s="1"/>
  <c r="L1232" i="14"/>
  <c r="K1212" i="14" s="1"/>
  <c r="L1212" i="14" s="1"/>
  <c r="L1213" i="14" s="1"/>
  <c r="H84" i="17"/>
  <c r="V76" i="17"/>
  <c r="Q76" i="17"/>
  <c r="R76" i="17" s="1"/>
  <c r="V75" i="17"/>
  <c r="V74" i="17"/>
  <c r="V73" i="17"/>
  <c r="V72" i="17"/>
  <c r="Q72" i="17"/>
  <c r="R72" i="17" s="1"/>
  <c r="V71" i="17"/>
  <c r="V70" i="17"/>
  <c r="V69" i="17"/>
  <c r="V68" i="17"/>
  <c r="V67" i="17"/>
  <c r="V66" i="17"/>
  <c r="V65" i="17"/>
  <c r="O62" i="17"/>
  <c r="O61" i="17"/>
  <c r="Q61" i="17" s="1"/>
  <c r="V60" i="17"/>
  <c r="O60" i="17"/>
  <c r="Q60" i="17" s="1"/>
  <c r="V59" i="17"/>
  <c r="O59" i="17"/>
  <c r="Q59" i="17" s="1"/>
  <c r="V58" i="17"/>
  <c r="O58" i="17"/>
  <c r="Q58" i="17" s="1"/>
  <c r="V57" i="17"/>
  <c r="O57" i="17"/>
  <c r="Q57" i="17" s="1"/>
  <c r="V56" i="17"/>
  <c r="O56" i="17"/>
  <c r="Q56" i="17" s="1"/>
  <c r="V55" i="17"/>
  <c r="Q55" i="17"/>
  <c r="V54" i="17"/>
  <c r="Q54" i="17"/>
  <c r="L53" i="17"/>
  <c r="J53" i="17"/>
  <c r="G53" i="17"/>
  <c r="H53" i="17" s="1"/>
  <c r="F53" i="17"/>
  <c r="L52" i="17"/>
  <c r="L54" i="17" s="1"/>
  <c r="J52" i="17"/>
  <c r="J54" i="17" s="1"/>
  <c r="G52" i="17"/>
  <c r="H52" i="17" s="1"/>
  <c r="F52" i="17"/>
  <c r="V51" i="17"/>
  <c r="Q51" i="17"/>
  <c r="Q50" i="17"/>
  <c r="G50" i="17"/>
  <c r="V50" i="17" s="1"/>
  <c r="L49" i="17"/>
  <c r="J49" i="17"/>
  <c r="G49" i="17"/>
  <c r="V49" i="17" s="1"/>
  <c r="F49" i="17"/>
  <c r="L48" i="17"/>
  <c r="J48" i="17"/>
  <c r="G48" i="17"/>
  <c r="O48" i="17" s="1"/>
  <c r="F48" i="17"/>
  <c r="L47" i="17"/>
  <c r="J47" i="17"/>
  <c r="G47" i="17"/>
  <c r="H47" i="17" s="1"/>
  <c r="F47" i="17"/>
  <c r="L46" i="17"/>
  <c r="J46" i="17"/>
  <c r="G46" i="17"/>
  <c r="V46" i="17" s="1"/>
  <c r="F46" i="17"/>
  <c r="L45" i="17"/>
  <c r="J45" i="17"/>
  <c r="G45" i="17"/>
  <c r="H45" i="17" s="1"/>
  <c r="F45" i="17"/>
  <c r="L44" i="17"/>
  <c r="J44" i="17"/>
  <c r="G44" i="17"/>
  <c r="H44" i="17" s="1"/>
  <c r="F44" i="17"/>
  <c r="L43" i="17"/>
  <c r="J43" i="17"/>
  <c r="G43" i="17"/>
  <c r="V43" i="17" s="1"/>
  <c r="F43" i="17"/>
  <c r="K42" i="17"/>
  <c r="J42" i="17"/>
  <c r="F42" i="17"/>
  <c r="K41" i="17"/>
  <c r="J41" i="17"/>
  <c r="F41" i="17"/>
  <c r="L40" i="17"/>
  <c r="J40" i="17"/>
  <c r="F40" i="17"/>
  <c r="K39" i="17"/>
  <c r="L39" i="17" s="1"/>
  <c r="J39" i="17"/>
  <c r="F39" i="17"/>
  <c r="K38" i="17"/>
  <c r="L38" i="17" s="1"/>
  <c r="J38" i="17"/>
  <c r="F38" i="17"/>
  <c r="K37" i="17"/>
  <c r="J37" i="17"/>
  <c r="F37" i="17"/>
  <c r="K36" i="17"/>
  <c r="J36" i="17"/>
  <c r="F36" i="17"/>
  <c r="L35" i="17"/>
  <c r="J35" i="17"/>
  <c r="G35" i="17"/>
  <c r="H35" i="17" s="1"/>
  <c r="F35" i="17"/>
  <c r="L34" i="17"/>
  <c r="J34" i="17"/>
  <c r="G34" i="17"/>
  <c r="H34" i="17" s="1"/>
  <c r="F34" i="17"/>
  <c r="L33" i="17"/>
  <c r="J33" i="17"/>
  <c r="G33" i="17"/>
  <c r="V33" i="17" s="1"/>
  <c r="F33" i="17"/>
  <c r="L32" i="17"/>
  <c r="J32" i="17"/>
  <c r="G32" i="17"/>
  <c r="V32" i="17" s="1"/>
  <c r="F32" i="17"/>
  <c r="L31" i="17"/>
  <c r="J31" i="17"/>
  <c r="G31" i="17"/>
  <c r="V31" i="17" s="1"/>
  <c r="F31" i="17"/>
  <c r="L30" i="17"/>
  <c r="J30" i="17"/>
  <c r="G30" i="17"/>
  <c r="O30" i="17" s="1"/>
  <c r="F30" i="17"/>
  <c r="L29" i="17"/>
  <c r="J29" i="17"/>
  <c r="G29" i="17"/>
  <c r="H29" i="17" s="1"/>
  <c r="F29" i="17"/>
  <c r="V28" i="17"/>
  <c r="Q28" i="17"/>
  <c r="Q27" i="17"/>
  <c r="G27" i="17"/>
  <c r="V27" i="17" s="1"/>
  <c r="K26" i="17"/>
  <c r="L26" i="17" s="1"/>
  <c r="J26" i="17"/>
  <c r="F26" i="17"/>
  <c r="L25" i="17"/>
  <c r="J25" i="17"/>
  <c r="G25" i="17"/>
  <c r="V25" i="17" s="1"/>
  <c r="F25" i="17"/>
  <c r="L24" i="17"/>
  <c r="J24" i="17"/>
  <c r="G24" i="17"/>
  <c r="V24" i="17" s="1"/>
  <c r="F24" i="17"/>
  <c r="V23" i="17"/>
  <c r="Q23" i="17"/>
  <c r="Q22" i="17"/>
  <c r="G22" i="17"/>
  <c r="V22" i="17" s="1"/>
  <c r="L21" i="17"/>
  <c r="J21" i="17"/>
  <c r="G21" i="17"/>
  <c r="O21" i="17" s="1"/>
  <c r="F21" i="17"/>
  <c r="L20" i="17"/>
  <c r="J20" i="17"/>
  <c r="G20" i="17"/>
  <c r="H20" i="17" s="1"/>
  <c r="F20" i="17"/>
  <c r="L19" i="17"/>
  <c r="L22" i="17" s="1"/>
  <c r="J19" i="17"/>
  <c r="F19" i="17"/>
  <c r="V18" i="17"/>
  <c r="Q18" i="17"/>
  <c r="Q17" i="17"/>
  <c r="G17" i="17"/>
  <c r="V17" i="17" s="1"/>
  <c r="L16" i="17"/>
  <c r="J16" i="17"/>
  <c r="G16" i="17"/>
  <c r="V16" i="17" s="1"/>
  <c r="F16" i="17"/>
  <c r="L15" i="17"/>
  <c r="J15" i="17"/>
  <c r="G15" i="17"/>
  <c r="O15" i="17" s="1"/>
  <c r="F15" i="17"/>
  <c r="K14" i="17"/>
  <c r="L14" i="17" s="1"/>
  <c r="J14" i="17"/>
  <c r="F14" i="17"/>
  <c r="K13" i="17"/>
  <c r="L13" i="17" s="1"/>
  <c r="J13" i="17"/>
  <c r="F13" i="17"/>
  <c r="Q7" i="17"/>
  <c r="I59" i="20" l="1"/>
  <c r="I60" i="20" s="1"/>
  <c r="I107" i="20"/>
  <c r="I109" i="20" s="1"/>
  <c r="K60" i="20"/>
  <c r="G109" i="20"/>
  <c r="G60" i="20"/>
  <c r="K109" i="20"/>
  <c r="J88" i="19"/>
  <c r="J70" i="19"/>
  <c r="J69" i="19"/>
  <c r="H72" i="19"/>
  <c r="H74" i="19" s="1"/>
  <c r="H76" i="19" s="1"/>
  <c r="L72" i="19"/>
  <c r="L74" i="19" s="1"/>
  <c r="L75" i="19" s="1"/>
  <c r="J27" i="17"/>
  <c r="F17" i="17"/>
  <c r="J22" i="17"/>
  <c r="V35" i="17"/>
  <c r="K1234" i="14"/>
  <c r="N54" i="17"/>
  <c r="N27" i="17"/>
  <c r="N22" i="17"/>
  <c r="N17" i="17"/>
  <c r="N50" i="17"/>
  <c r="O45" i="17"/>
  <c r="Q45" i="17" s="1"/>
  <c r="H54" i="17"/>
  <c r="O47" i="17"/>
  <c r="Q47" i="17" s="1"/>
  <c r="V21" i="17"/>
  <c r="H15" i="17"/>
  <c r="O44" i="17"/>
  <c r="P44" i="17" s="1"/>
  <c r="O29" i="17"/>
  <c r="Q29" i="17" s="1"/>
  <c r="O35" i="17"/>
  <c r="P35" i="17" s="1"/>
  <c r="Q21" i="17"/>
  <c r="P21" i="17"/>
  <c r="H46" i="17"/>
  <c r="L27" i="17"/>
  <c r="F50" i="17"/>
  <c r="L36" i="17"/>
  <c r="H21" i="17"/>
  <c r="O34" i="17"/>
  <c r="Q34" i="17" s="1"/>
  <c r="L41" i="17"/>
  <c r="O46" i="17"/>
  <c r="Q46" i="17" s="1"/>
  <c r="V45" i="17"/>
  <c r="F54" i="17"/>
  <c r="J50" i="17"/>
  <c r="V34" i="17"/>
  <c r="H25" i="17"/>
  <c r="J17" i="17"/>
  <c r="F22" i="17"/>
  <c r="F27" i="17"/>
  <c r="H24" i="17"/>
  <c r="V15" i="17"/>
  <c r="H30" i="17"/>
  <c r="V44" i="17"/>
  <c r="H48" i="17"/>
  <c r="H31" i="17"/>
  <c r="H49" i="17"/>
  <c r="O52" i="17"/>
  <c r="O53" i="17"/>
  <c r="H16" i="17"/>
  <c r="V30" i="17"/>
  <c r="H32" i="17"/>
  <c r="V48" i="17"/>
  <c r="O20" i="17"/>
  <c r="V52" i="17"/>
  <c r="Q48" i="17"/>
  <c r="P48" i="17"/>
  <c r="Q15" i="17"/>
  <c r="P15" i="17"/>
  <c r="Q30" i="17"/>
  <c r="P30" i="17"/>
  <c r="L17" i="17"/>
  <c r="V20" i="17"/>
  <c r="H33" i="17"/>
  <c r="L37" i="17"/>
  <c r="H43" i="17"/>
  <c r="V53" i="17"/>
  <c r="O24" i="17"/>
  <c r="O31" i="17"/>
  <c r="L42" i="17"/>
  <c r="O49" i="17"/>
  <c r="O16" i="17"/>
  <c r="O25" i="17"/>
  <c r="V29" i="17"/>
  <c r="O32" i="17"/>
  <c r="V47" i="17"/>
  <c r="O33" i="17"/>
  <c r="O43" i="17"/>
  <c r="I110" i="20" l="1"/>
  <c r="K110" i="20"/>
  <c r="G110" i="20"/>
  <c r="J72" i="19"/>
  <c r="H75" i="19"/>
  <c r="L76" i="19"/>
  <c r="Q44" i="17"/>
  <c r="P34" i="17"/>
  <c r="F67" i="17"/>
  <c r="F70" i="17" s="1"/>
  <c r="P45" i="17"/>
  <c r="Q35" i="17"/>
  <c r="P46" i="17"/>
  <c r="E63" i="17"/>
  <c r="N63" i="17" s="1"/>
  <c r="P29" i="17"/>
  <c r="P47" i="17"/>
  <c r="Q20" i="17"/>
  <c r="P20" i="17"/>
  <c r="Q53" i="17"/>
  <c r="P53" i="17"/>
  <c r="Q52" i="17"/>
  <c r="P52" i="17"/>
  <c r="Q33" i="17"/>
  <c r="P33" i="17"/>
  <c r="L50" i="17"/>
  <c r="Q24" i="17"/>
  <c r="P24" i="17"/>
  <c r="Q49" i="17"/>
  <c r="P49" i="17"/>
  <c r="Q31" i="17"/>
  <c r="P31" i="17"/>
  <c r="Q43" i="17"/>
  <c r="P43" i="17"/>
  <c r="Q32" i="17"/>
  <c r="P32" i="17"/>
  <c r="Q25" i="17"/>
  <c r="P25" i="17"/>
  <c r="Q16" i="17"/>
  <c r="P16" i="17"/>
  <c r="H242" i="12"/>
  <c r="H221" i="12"/>
  <c r="H222" i="12"/>
  <c r="H223" i="12"/>
  <c r="H129" i="12"/>
  <c r="H130" i="12"/>
  <c r="H131" i="12"/>
  <c r="H85" i="12"/>
  <c r="H68" i="12"/>
  <c r="H50" i="12"/>
  <c r="H51" i="12"/>
  <c r="H37" i="12"/>
  <c r="G442" i="12"/>
  <c r="B442" i="12"/>
  <c r="G281" i="12"/>
  <c r="B281" i="12"/>
  <c r="K26" i="16"/>
  <c r="K14" i="16"/>
  <c r="K13" i="16"/>
  <c r="F68" i="17" l="1"/>
  <c r="F69" i="17"/>
  <c r="F71" i="17"/>
  <c r="F72" i="17" s="1"/>
  <c r="P54" i="17"/>
  <c r="M62" i="16"/>
  <c r="F63" i="16"/>
  <c r="F63" i="15"/>
  <c r="K62" i="15"/>
  <c r="J5" i="17" l="1"/>
  <c r="J7" i="17" s="1"/>
  <c r="L578" i="14"/>
  <c r="E578" i="14"/>
  <c r="D578" i="14"/>
  <c r="H601" i="14"/>
  <c r="J601" i="14" s="1"/>
  <c r="L601" i="14" s="1"/>
  <c r="L604" i="14" s="1"/>
  <c r="F601" i="14"/>
  <c r="D601" i="14"/>
  <c r="L597" i="14"/>
  <c r="L589" i="14"/>
  <c r="L591" i="14" s="1"/>
  <c r="C576" i="14"/>
  <c r="Q5" i="17" l="1"/>
  <c r="K584" i="14"/>
  <c r="L584" i="14" s="1"/>
  <c r="L585" i="14" s="1"/>
  <c r="K606" i="14" s="1"/>
  <c r="E62" i="17" l="1"/>
  <c r="E62" i="15"/>
  <c r="E62" i="16"/>
  <c r="N62" i="16" s="1"/>
  <c r="K39" i="16"/>
  <c r="L62" i="17" l="1"/>
  <c r="H62" i="17"/>
  <c r="J62" i="17"/>
  <c r="N62" i="17"/>
  <c r="P62" i="17"/>
  <c r="L62" i="16"/>
  <c r="H62" i="16"/>
  <c r="J62" i="16"/>
  <c r="H62" i="15"/>
  <c r="J62" i="15"/>
  <c r="L62" i="15"/>
  <c r="K61" i="15" l="1"/>
  <c r="L544" i="14" l="1"/>
  <c r="E544" i="14"/>
  <c r="E543" i="14"/>
  <c r="E577" i="14" s="1"/>
  <c r="D544" i="14"/>
  <c r="D543" i="14"/>
  <c r="D577" i="14" s="1"/>
  <c r="H567" i="14"/>
  <c r="J567" i="14" s="1"/>
  <c r="L567" i="14" s="1"/>
  <c r="L570" i="14" s="1"/>
  <c r="F567" i="14"/>
  <c r="D567" i="14"/>
  <c r="L563" i="14"/>
  <c r="L555" i="14"/>
  <c r="L557" i="14" s="1"/>
  <c r="C542" i="14"/>
  <c r="M61" i="16"/>
  <c r="O61" i="16" s="1"/>
  <c r="O74" i="16"/>
  <c r="P74" i="16" s="1"/>
  <c r="O70" i="16"/>
  <c r="P70" i="16" s="1"/>
  <c r="K57" i="15"/>
  <c r="K58" i="15"/>
  <c r="K59" i="15"/>
  <c r="K60" i="15"/>
  <c r="K56" i="15"/>
  <c r="K550" i="14" l="1"/>
  <c r="L550" i="14" s="1"/>
  <c r="L551" i="14" s="1"/>
  <c r="K572" i="14" s="1"/>
  <c r="P64" i="15"/>
  <c r="P18" i="15"/>
  <c r="P23" i="15"/>
  <c r="P28" i="15"/>
  <c r="P51" i="15"/>
  <c r="P55" i="15"/>
  <c r="P56" i="15"/>
  <c r="P57" i="15"/>
  <c r="P58" i="15"/>
  <c r="P59" i="15"/>
  <c r="P60" i="15"/>
  <c r="T56" i="16"/>
  <c r="T18" i="16"/>
  <c r="T23" i="16"/>
  <c r="T28" i="16"/>
  <c r="T51" i="16"/>
  <c r="T54" i="16"/>
  <c r="T55" i="16"/>
  <c r="T57" i="16"/>
  <c r="T58" i="16"/>
  <c r="T59" i="16"/>
  <c r="T60" i="16"/>
  <c r="T63" i="16"/>
  <c r="T64" i="16"/>
  <c r="T65" i="16"/>
  <c r="T66" i="16"/>
  <c r="T67" i="16"/>
  <c r="T68" i="16"/>
  <c r="T69" i="16"/>
  <c r="T70" i="16"/>
  <c r="T71" i="16"/>
  <c r="T72" i="16"/>
  <c r="T73" i="16"/>
  <c r="T74" i="16"/>
  <c r="E61" i="17" l="1"/>
  <c r="E61" i="16"/>
  <c r="E61" i="15"/>
  <c r="K42" i="16"/>
  <c r="L42" i="16" s="1"/>
  <c r="K41" i="16"/>
  <c r="L41" i="16" s="1"/>
  <c r="L40" i="16"/>
  <c r="L39" i="16"/>
  <c r="K38" i="16"/>
  <c r="L38" i="16" s="1"/>
  <c r="K37" i="16"/>
  <c r="L37" i="16" s="1"/>
  <c r="K36" i="16"/>
  <c r="L36" i="16" s="1"/>
  <c r="L53" i="16"/>
  <c r="L52" i="16"/>
  <c r="L30" i="16"/>
  <c r="L31" i="16"/>
  <c r="L32" i="16"/>
  <c r="L33" i="16"/>
  <c r="L34" i="16"/>
  <c r="L35" i="16"/>
  <c r="L43" i="16"/>
  <c r="L44" i="16"/>
  <c r="L45" i="16"/>
  <c r="L46" i="16"/>
  <c r="L47" i="16"/>
  <c r="L48" i="16"/>
  <c r="L49" i="16"/>
  <c r="L29" i="16"/>
  <c r="L25" i="16"/>
  <c r="L24" i="16"/>
  <c r="L20" i="16"/>
  <c r="L21" i="16"/>
  <c r="L19" i="16"/>
  <c r="L15" i="16"/>
  <c r="L16" i="16"/>
  <c r="O17" i="16"/>
  <c r="O18" i="16"/>
  <c r="O22" i="16"/>
  <c r="O23" i="16"/>
  <c r="O27" i="16"/>
  <c r="O28" i="16"/>
  <c r="O50" i="16"/>
  <c r="O51" i="16"/>
  <c r="O54" i="16"/>
  <c r="O55" i="16"/>
  <c r="M56" i="16"/>
  <c r="O56" i="16" s="1"/>
  <c r="M57" i="16"/>
  <c r="O57" i="16" s="1"/>
  <c r="M58" i="16"/>
  <c r="O58" i="16" s="1"/>
  <c r="M59" i="16"/>
  <c r="O59" i="16" s="1"/>
  <c r="M60" i="16"/>
  <c r="O60" i="16" s="1"/>
  <c r="L13" i="16"/>
  <c r="L26" i="16"/>
  <c r="H84" i="16"/>
  <c r="J53" i="16"/>
  <c r="G53" i="16"/>
  <c r="F53" i="16"/>
  <c r="J52" i="16"/>
  <c r="G52" i="16"/>
  <c r="M52" i="16" s="1"/>
  <c r="O52" i="16" s="1"/>
  <c r="F52" i="16"/>
  <c r="G50" i="16"/>
  <c r="T50" i="16" s="1"/>
  <c r="J49" i="16"/>
  <c r="G49" i="16"/>
  <c r="F49" i="16"/>
  <c r="J48" i="16"/>
  <c r="G48" i="16"/>
  <c r="M48" i="16" s="1"/>
  <c r="O48" i="16" s="1"/>
  <c r="F48" i="16"/>
  <c r="J47" i="16"/>
  <c r="G47" i="16"/>
  <c r="T47" i="16" s="1"/>
  <c r="F47" i="16"/>
  <c r="J46" i="16"/>
  <c r="G46" i="16"/>
  <c r="F46" i="16"/>
  <c r="J45" i="16"/>
  <c r="G45" i="16"/>
  <c r="M45" i="16" s="1"/>
  <c r="O45" i="16" s="1"/>
  <c r="F45" i="16"/>
  <c r="J44" i="16"/>
  <c r="G44" i="16"/>
  <c r="M44" i="16" s="1"/>
  <c r="O44" i="16" s="1"/>
  <c r="F44" i="16"/>
  <c r="J43" i="16"/>
  <c r="G43" i="16"/>
  <c r="F43" i="16"/>
  <c r="J42" i="16"/>
  <c r="F42" i="16"/>
  <c r="J41" i="16"/>
  <c r="F41" i="16"/>
  <c r="J40" i="16"/>
  <c r="F40" i="16"/>
  <c r="J39" i="16"/>
  <c r="F39" i="16"/>
  <c r="J38" i="16"/>
  <c r="F38" i="16"/>
  <c r="J37" i="16"/>
  <c r="F37" i="16"/>
  <c r="J36" i="16"/>
  <c r="F36" i="16"/>
  <c r="J35" i="16"/>
  <c r="G35" i="16"/>
  <c r="F35" i="16"/>
  <c r="J34" i="16"/>
  <c r="G34" i="16"/>
  <c r="T34" i="16" s="1"/>
  <c r="F34" i="16"/>
  <c r="J33" i="16"/>
  <c r="G33" i="16"/>
  <c r="T33" i="16" s="1"/>
  <c r="F33" i="16"/>
  <c r="J32" i="16"/>
  <c r="G32" i="16"/>
  <c r="M32" i="16" s="1"/>
  <c r="O32" i="16" s="1"/>
  <c r="F32" i="16"/>
  <c r="J31" i="16"/>
  <c r="G31" i="16"/>
  <c r="M31" i="16" s="1"/>
  <c r="O31" i="16" s="1"/>
  <c r="F31" i="16"/>
  <c r="J30" i="16"/>
  <c r="G30" i="16"/>
  <c r="F30" i="16"/>
  <c r="J29" i="16"/>
  <c r="G29" i="16"/>
  <c r="F29" i="16"/>
  <c r="G27" i="16"/>
  <c r="T27" i="16" s="1"/>
  <c r="J26" i="16"/>
  <c r="F26" i="16"/>
  <c r="J25" i="16"/>
  <c r="G25" i="16"/>
  <c r="T25" i="16" s="1"/>
  <c r="F25" i="16"/>
  <c r="J24" i="16"/>
  <c r="G24" i="16"/>
  <c r="M24" i="16" s="1"/>
  <c r="O24" i="16" s="1"/>
  <c r="F24" i="16"/>
  <c r="G22" i="16"/>
  <c r="T22" i="16" s="1"/>
  <c r="J21" i="16"/>
  <c r="G21" i="16"/>
  <c r="M21" i="16" s="1"/>
  <c r="F21" i="16"/>
  <c r="J20" i="16"/>
  <c r="G20" i="16"/>
  <c r="M20" i="16" s="1"/>
  <c r="O20" i="16" s="1"/>
  <c r="F20" i="16"/>
  <c r="J19" i="16"/>
  <c r="F19" i="16"/>
  <c r="G17" i="16"/>
  <c r="T17" i="16" s="1"/>
  <c r="J16" i="16"/>
  <c r="G16" i="16"/>
  <c r="F16" i="16"/>
  <c r="J15" i="16"/>
  <c r="G15" i="16"/>
  <c r="T15" i="16" s="1"/>
  <c r="F15" i="16"/>
  <c r="J14" i="16"/>
  <c r="F14" i="16"/>
  <c r="J13" i="16"/>
  <c r="F13" i="16"/>
  <c r="O7" i="16"/>
  <c r="J21" i="15"/>
  <c r="J19" i="15"/>
  <c r="I14" i="15"/>
  <c r="J14" i="15" s="1"/>
  <c r="I13" i="15"/>
  <c r="J13" i="15" s="1"/>
  <c r="C82" i="15"/>
  <c r="J53" i="15"/>
  <c r="G53" i="15"/>
  <c r="K53" i="15" s="1"/>
  <c r="F53" i="15"/>
  <c r="P53" i="15" s="1"/>
  <c r="J52" i="15"/>
  <c r="G52" i="15"/>
  <c r="F52" i="15"/>
  <c r="P52" i="15" s="1"/>
  <c r="G50" i="15"/>
  <c r="K50" i="15" s="1"/>
  <c r="J49" i="15"/>
  <c r="G49" i="15"/>
  <c r="H49" i="15" s="1"/>
  <c r="F49" i="15"/>
  <c r="P49" i="15" s="1"/>
  <c r="J48" i="15"/>
  <c r="G48" i="15"/>
  <c r="K48" i="15" s="1"/>
  <c r="F48" i="15"/>
  <c r="P48" i="15" s="1"/>
  <c r="J47" i="15"/>
  <c r="G47" i="15"/>
  <c r="H47" i="15" s="1"/>
  <c r="F47" i="15"/>
  <c r="P47" i="15" s="1"/>
  <c r="J46" i="15"/>
  <c r="G46" i="15"/>
  <c r="K46" i="15" s="1"/>
  <c r="F46" i="15"/>
  <c r="P46" i="15" s="1"/>
  <c r="J45" i="15"/>
  <c r="G45" i="15"/>
  <c r="K45" i="15" s="1"/>
  <c r="F45" i="15"/>
  <c r="P45" i="15" s="1"/>
  <c r="J44" i="15"/>
  <c r="G44" i="15"/>
  <c r="F44" i="15"/>
  <c r="P44" i="15" s="1"/>
  <c r="J43" i="15"/>
  <c r="G43" i="15"/>
  <c r="F43" i="15"/>
  <c r="P43" i="15" s="1"/>
  <c r="J42" i="15"/>
  <c r="F42" i="15"/>
  <c r="P42" i="15" s="1"/>
  <c r="J41" i="15"/>
  <c r="F41" i="15"/>
  <c r="P41" i="15" s="1"/>
  <c r="J40" i="15"/>
  <c r="F40" i="15"/>
  <c r="P40" i="15" s="1"/>
  <c r="J39" i="15"/>
  <c r="F39" i="15"/>
  <c r="P39" i="15" s="1"/>
  <c r="J38" i="15"/>
  <c r="F38" i="15"/>
  <c r="P38" i="15" s="1"/>
  <c r="J37" i="15"/>
  <c r="F37" i="15"/>
  <c r="P37" i="15" s="1"/>
  <c r="J36" i="15"/>
  <c r="F36" i="15"/>
  <c r="P36" i="15" s="1"/>
  <c r="J35" i="15"/>
  <c r="G35" i="15"/>
  <c r="F35" i="15"/>
  <c r="P35" i="15" s="1"/>
  <c r="J34" i="15"/>
  <c r="G34" i="15"/>
  <c r="F34" i="15"/>
  <c r="P34" i="15" s="1"/>
  <c r="J33" i="15"/>
  <c r="G33" i="15"/>
  <c r="H33" i="15" s="1"/>
  <c r="F33" i="15"/>
  <c r="P33" i="15" s="1"/>
  <c r="J32" i="15"/>
  <c r="G32" i="15"/>
  <c r="H32" i="15" s="1"/>
  <c r="F32" i="15"/>
  <c r="P32" i="15" s="1"/>
  <c r="J31" i="15"/>
  <c r="G31" i="15"/>
  <c r="H31" i="15" s="1"/>
  <c r="F31" i="15"/>
  <c r="P31" i="15" s="1"/>
  <c r="J30" i="15"/>
  <c r="G30" i="15"/>
  <c r="H30" i="15" s="1"/>
  <c r="F30" i="15"/>
  <c r="P30" i="15" s="1"/>
  <c r="J29" i="15"/>
  <c r="G29" i="15"/>
  <c r="K29" i="15" s="1"/>
  <c r="F29" i="15"/>
  <c r="P29" i="15" s="1"/>
  <c r="G27" i="15"/>
  <c r="K27" i="15" s="1"/>
  <c r="J26" i="15"/>
  <c r="F26" i="15"/>
  <c r="P26" i="15" s="1"/>
  <c r="J25" i="15"/>
  <c r="G25" i="15"/>
  <c r="F25" i="15"/>
  <c r="P25" i="15" s="1"/>
  <c r="J24" i="15"/>
  <c r="G24" i="15"/>
  <c r="K24" i="15" s="1"/>
  <c r="F24" i="15"/>
  <c r="P24" i="15" s="1"/>
  <c r="G22" i="15"/>
  <c r="K22" i="15" s="1"/>
  <c r="G21" i="15"/>
  <c r="K21" i="15" s="1"/>
  <c r="F21" i="15"/>
  <c r="P21" i="15" s="1"/>
  <c r="J20" i="15"/>
  <c r="G20" i="15"/>
  <c r="F20" i="15"/>
  <c r="P20" i="15" s="1"/>
  <c r="F19" i="15"/>
  <c r="P19" i="15" s="1"/>
  <c r="G17" i="15"/>
  <c r="K17" i="15" s="1"/>
  <c r="J16" i="15"/>
  <c r="G16" i="15"/>
  <c r="H16" i="15" s="1"/>
  <c r="F16" i="15"/>
  <c r="P16" i="15" s="1"/>
  <c r="J15" i="15"/>
  <c r="G15" i="15"/>
  <c r="H15" i="15" s="1"/>
  <c r="F15" i="15"/>
  <c r="P15" i="15" s="1"/>
  <c r="F14" i="15"/>
  <c r="P14" i="15" s="1"/>
  <c r="F13" i="15"/>
  <c r="P13" i="15" s="1"/>
  <c r="M7" i="15"/>
  <c r="L61" i="16" l="1"/>
  <c r="N61" i="16"/>
  <c r="L61" i="17"/>
  <c r="P61" i="17"/>
  <c r="J61" i="17"/>
  <c r="H61" i="17"/>
  <c r="N61" i="17"/>
  <c r="L54" i="16"/>
  <c r="J54" i="16"/>
  <c r="J61" i="15"/>
  <c r="L61" i="15"/>
  <c r="H61" i="15"/>
  <c r="J61" i="16"/>
  <c r="H61" i="16"/>
  <c r="J22" i="16"/>
  <c r="F17" i="16"/>
  <c r="F22" i="16"/>
  <c r="J27" i="16"/>
  <c r="M34" i="16"/>
  <c r="O34" i="16" s="1"/>
  <c r="N21" i="16"/>
  <c r="O21" i="16"/>
  <c r="T35" i="16"/>
  <c r="T43" i="16"/>
  <c r="F27" i="16"/>
  <c r="H30" i="16"/>
  <c r="T30" i="16"/>
  <c r="H46" i="16"/>
  <c r="T46" i="16"/>
  <c r="H53" i="16"/>
  <c r="T53" i="16"/>
  <c r="M33" i="16"/>
  <c r="O33" i="16" s="1"/>
  <c r="H49" i="16"/>
  <c r="T49" i="16"/>
  <c r="M53" i="16"/>
  <c r="O53" i="16" s="1"/>
  <c r="M43" i="16"/>
  <c r="O43" i="16" s="1"/>
  <c r="L14" i="16"/>
  <c r="L17" i="16" s="1"/>
  <c r="H20" i="16"/>
  <c r="T20" i="16"/>
  <c r="H24" i="16"/>
  <c r="T24" i="16"/>
  <c r="T16" i="16"/>
  <c r="H44" i="16"/>
  <c r="T44" i="16"/>
  <c r="M49" i="16"/>
  <c r="O49" i="16" s="1"/>
  <c r="M30" i="16"/>
  <c r="O30" i="16" s="1"/>
  <c r="M16" i="16"/>
  <c r="O16" i="16" s="1"/>
  <c r="H21" i="16"/>
  <c r="T21" i="16"/>
  <c r="H29" i="16"/>
  <c r="T29" i="16"/>
  <c r="F54" i="16"/>
  <c r="M29" i="16"/>
  <c r="M15" i="16"/>
  <c r="O15" i="16" s="1"/>
  <c r="F50" i="16"/>
  <c r="J50" i="16"/>
  <c r="H45" i="16"/>
  <c r="T45" i="16"/>
  <c r="N52" i="16"/>
  <c r="T52" i="16"/>
  <c r="M47" i="16"/>
  <c r="O47" i="16" s="1"/>
  <c r="H31" i="16"/>
  <c r="T31" i="16"/>
  <c r="N32" i="16"/>
  <c r="T32" i="16"/>
  <c r="N48" i="16"/>
  <c r="T48" i="16"/>
  <c r="M46" i="16"/>
  <c r="O46" i="16" s="1"/>
  <c r="M35" i="16"/>
  <c r="O35" i="16" s="1"/>
  <c r="M25" i="16"/>
  <c r="O25" i="16" s="1"/>
  <c r="K33" i="15"/>
  <c r="L33" i="15" s="1"/>
  <c r="K49" i="15"/>
  <c r="L49" i="15" s="1"/>
  <c r="L50" i="16"/>
  <c r="L22" i="16"/>
  <c r="N24" i="16"/>
  <c r="L27" i="16"/>
  <c r="N20" i="16"/>
  <c r="N45" i="16"/>
  <c r="N31" i="16"/>
  <c r="H33" i="16"/>
  <c r="H47" i="16"/>
  <c r="J17" i="16"/>
  <c r="H35" i="16"/>
  <c r="H43" i="16"/>
  <c r="H52" i="16"/>
  <c r="H15" i="16"/>
  <c r="H25" i="16"/>
  <c r="H34" i="16"/>
  <c r="N44" i="16"/>
  <c r="H16" i="16"/>
  <c r="H32" i="16"/>
  <c r="H48" i="16"/>
  <c r="J54" i="15"/>
  <c r="P63" i="15"/>
  <c r="K47" i="15"/>
  <c r="L47" i="15" s="1"/>
  <c r="K31" i="15"/>
  <c r="L31" i="15" s="1"/>
  <c r="K32" i="15"/>
  <c r="L32" i="15" s="1"/>
  <c r="K30" i="15"/>
  <c r="L30" i="15" s="1"/>
  <c r="K20" i="15"/>
  <c r="L20" i="15" s="1"/>
  <c r="K44" i="15"/>
  <c r="L44" i="15" s="1"/>
  <c r="K52" i="15"/>
  <c r="L52" i="15" s="1"/>
  <c r="K43" i="15"/>
  <c r="L43" i="15" s="1"/>
  <c r="K35" i="15"/>
  <c r="L35" i="15" s="1"/>
  <c r="K16" i="15"/>
  <c r="L16" i="15" s="1"/>
  <c r="L21" i="15"/>
  <c r="L45" i="15"/>
  <c r="K34" i="15"/>
  <c r="L34" i="15" s="1"/>
  <c r="K25" i="15"/>
  <c r="L25" i="15" s="1"/>
  <c r="K15" i="15"/>
  <c r="L15" i="15" s="1"/>
  <c r="F27" i="15"/>
  <c r="P27" i="15" s="1"/>
  <c r="L48" i="15"/>
  <c r="L46" i="15"/>
  <c r="L24" i="15"/>
  <c r="L53" i="15"/>
  <c r="L29" i="15"/>
  <c r="J17" i="15"/>
  <c r="H48" i="15"/>
  <c r="F54" i="15"/>
  <c r="P54" i="15" s="1"/>
  <c r="H44" i="15"/>
  <c r="J22" i="15"/>
  <c r="F22" i="15"/>
  <c r="P22" i="15" s="1"/>
  <c r="H21" i="15"/>
  <c r="H24" i="15"/>
  <c r="J50" i="15"/>
  <c r="H46" i="15"/>
  <c r="H52" i="15"/>
  <c r="J27" i="15"/>
  <c r="H35" i="15"/>
  <c r="H43" i="15"/>
  <c r="F17" i="15"/>
  <c r="P17" i="15" s="1"/>
  <c r="F50" i="15"/>
  <c r="P50" i="15" s="1"/>
  <c r="H20" i="15"/>
  <c r="H29" i="15"/>
  <c r="H45" i="15"/>
  <c r="H53" i="15"/>
  <c r="H25" i="15"/>
  <c r="H34" i="15"/>
  <c r="K26" i="11"/>
  <c r="K14" i="11"/>
  <c r="K13" i="11"/>
  <c r="O7" i="11"/>
  <c r="L508" i="14"/>
  <c r="E508" i="14"/>
  <c r="D508" i="14"/>
  <c r="E507" i="14"/>
  <c r="D507" i="14"/>
  <c r="L474" i="14"/>
  <c r="E474" i="14"/>
  <c r="D474" i="14"/>
  <c r="E473" i="14"/>
  <c r="D473" i="14"/>
  <c r="L438" i="14"/>
  <c r="E438" i="14"/>
  <c r="D438" i="14"/>
  <c r="E437" i="14"/>
  <c r="D437" i="14"/>
  <c r="L402" i="14"/>
  <c r="D402" i="14"/>
  <c r="E402" i="14"/>
  <c r="E401" i="14"/>
  <c r="D401" i="14"/>
  <c r="L366" i="14"/>
  <c r="D366" i="14"/>
  <c r="E365" i="14"/>
  <c r="D365" i="14"/>
  <c r="E366" i="14"/>
  <c r="I39" i="13"/>
  <c r="J39" i="13" s="1"/>
  <c r="Q29" i="13"/>
  <c r="H60" i="13"/>
  <c r="H59" i="13"/>
  <c r="H56" i="13"/>
  <c r="H57" i="13"/>
  <c r="L1192" i="14"/>
  <c r="K1171" i="14" s="1"/>
  <c r="L1171" i="14" s="1"/>
  <c r="L1172" i="14" s="1"/>
  <c r="L1185" i="14"/>
  <c r="L1176" i="14"/>
  <c r="L1178" i="14" s="1"/>
  <c r="H1176" i="14"/>
  <c r="L1165" i="14"/>
  <c r="E1165" i="14"/>
  <c r="D1165" i="14"/>
  <c r="E1164" i="14"/>
  <c r="D1164" i="14"/>
  <c r="C1163" i="14"/>
  <c r="H1154" i="14"/>
  <c r="J1154" i="14" s="1"/>
  <c r="L1154" i="14" s="1"/>
  <c r="L1157" i="14" s="1"/>
  <c r="F1154" i="14"/>
  <c r="D1154" i="14"/>
  <c r="L1150" i="14"/>
  <c r="J1141" i="14"/>
  <c r="L1141" i="14" s="1"/>
  <c r="L1143" i="14" s="1"/>
  <c r="H1141" i="14"/>
  <c r="D1141" i="14"/>
  <c r="L1130" i="14"/>
  <c r="E1130" i="14"/>
  <c r="D1130" i="14"/>
  <c r="E1129" i="14"/>
  <c r="D1129" i="14"/>
  <c r="C1128" i="14"/>
  <c r="K1120" i="14"/>
  <c r="H1120" i="14"/>
  <c r="J1120" i="14" s="1"/>
  <c r="L1120" i="14" s="1"/>
  <c r="F1120" i="14"/>
  <c r="D1120" i="14"/>
  <c r="H1119" i="14"/>
  <c r="J1119" i="14" s="1"/>
  <c r="L1119" i="14" s="1"/>
  <c r="F1119" i="14"/>
  <c r="D1119" i="14"/>
  <c r="L1115" i="14"/>
  <c r="H1107" i="14"/>
  <c r="D1107" i="14"/>
  <c r="J1106" i="14"/>
  <c r="L1106" i="14" s="1"/>
  <c r="H1106" i="14"/>
  <c r="D1106" i="14"/>
  <c r="J1105" i="14"/>
  <c r="L1105" i="14" s="1"/>
  <c r="H1105" i="14"/>
  <c r="D1105" i="14"/>
  <c r="J1104" i="14"/>
  <c r="L1104" i="14" s="1"/>
  <c r="H1104" i="14"/>
  <c r="D1104" i="14"/>
  <c r="K1098" i="14"/>
  <c r="L1098" i="14" s="1"/>
  <c r="I1098" i="14"/>
  <c r="D1098" i="14"/>
  <c r="L1093" i="14"/>
  <c r="E1093" i="14"/>
  <c r="D1093" i="14"/>
  <c r="E1092" i="14"/>
  <c r="D1092" i="14"/>
  <c r="C1091" i="14"/>
  <c r="K1083" i="14"/>
  <c r="H1083" i="14"/>
  <c r="J1083" i="14" s="1"/>
  <c r="F1083" i="14"/>
  <c r="D1083" i="14"/>
  <c r="H1082" i="14"/>
  <c r="J1082" i="14" s="1"/>
  <c r="L1082" i="14" s="1"/>
  <c r="F1082" i="14"/>
  <c r="D1082" i="14"/>
  <c r="L1078" i="14"/>
  <c r="H1070" i="14"/>
  <c r="D1070" i="14"/>
  <c r="J1069" i="14"/>
  <c r="L1069" i="14" s="1"/>
  <c r="H1069" i="14"/>
  <c r="D1069" i="14"/>
  <c r="J1068" i="14"/>
  <c r="L1068" i="14" s="1"/>
  <c r="H1068" i="14"/>
  <c r="D1068" i="14"/>
  <c r="J1067" i="14"/>
  <c r="L1067" i="14" s="1"/>
  <c r="H1067" i="14"/>
  <c r="D1067" i="14"/>
  <c r="K1061" i="14"/>
  <c r="L1061" i="14" s="1"/>
  <c r="I1061" i="14"/>
  <c r="D1061" i="14"/>
  <c r="L1056" i="14"/>
  <c r="E1056" i="14"/>
  <c r="D1056" i="14"/>
  <c r="E1055" i="14"/>
  <c r="D1055" i="14"/>
  <c r="C1054" i="14"/>
  <c r="K1046" i="14"/>
  <c r="H1046" i="14"/>
  <c r="J1046" i="14" s="1"/>
  <c r="F1046" i="14"/>
  <c r="D1046" i="14"/>
  <c r="H1045" i="14"/>
  <c r="J1045" i="14" s="1"/>
  <c r="L1045" i="14" s="1"/>
  <c r="F1045" i="14"/>
  <c r="D1045" i="14"/>
  <c r="L1041" i="14"/>
  <c r="H1033" i="14"/>
  <c r="D1033" i="14"/>
  <c r="J1032" i="14"/>
  <c r="L1032" i="14" s="1"/>
  <c r="H1032" i="14"/>
  <c r="D1032" i="14"/>
  <c r="J1031" i="14"/>
  <c r="L1031" i="14" s="1"/>
  <c r="H1031" i="14"/>
  <c r="D1031" i="14"/>
  <c r="J1030" i="14"/>
  <c r="L1030" i="14" s="1"/>
  <c r="H1030" i="14"/>
  <c r="D1030" i="14"/>
  <c r="K1024" i="14"/>
  <c r="L1024" i="14" s="1"/>
  <c r="I1024" i="14"/>
  <c r="D1024" i="14"/>
  <c r="L1019" i="14"/>
  <c r="E1019" i="14"/>
  <c r="D1019" i="14"/>
  <c r="E1018" i="14"/>
  <c r="D1018" i="14"/>
  <c r="C1017" i="14"/>
  <c r="K1009" i="14"/>
  <c r="H1009" i="14"/>
  <c r="J1009" i="14" s="1"/>
  <c r="F1009" i="14"/>
  <c r="D1009" i="14"/>
  <c r="H1008" i="14"/>
  <c r="J1008" i="14" s="1"/>
  <c r="L1008" i="14" s="1"/>
  <c r="F1008" i="14"/>
  <c r="D1008" i="14"/>
  <c r="L1004" i="14"/>
  <c r="J996" i="14"/>
  <c r="L996" i="14" s="1"/>
  <c r="H996" i="14"/>
  <c r="D996" i="14"/>
  <c r="J995" i="14"/>
  <c r="L995" i="14" s="1"/>
  <c r="H995" i="14"/>
  <c r="D995" i="14"/>
  <c r="J994" i="14"/>
  <c r="L994" i="14" s="1"/>
  <c r="H994" i="14"/>
  <c r="D994" i="14"/>
  <c r="J993" i="14"/>
  <c r="L993" i="14" s="1"/>
  <c r="H993" i="14"/>
  <c r="D993" i="14"/>
  <c r="L982" i="14"/>
  <c r="E982" i="14"/>
  <c r="D982" i="14"/>
  <c r="E981" i="14"/>
  <c r="D981" i="14"/>
  <c r="C980" i="14"/>
  <c r="K972" i="14"/>
  <c r="H972" i="14"/>
  <c r="J972" i="14" s="1"/>
  <c r="F972" i="14"/>
  <c r="D972" i="14"/>
  <c r="H971" i="14"/>
  <c r="J971" i="14" s="1"/>
  <c r="L971" i="14" s="1"/>
  <c r="F971" i="14"/>
  <c r="D971" i="14"/>
  <c r="L967" i="14"/>
  <c r="J959" i="14"/>
  <c r="L959" i="14" s="1"/>
  <c r="H959" i="14"/>
  <c r="D959" i="14"/>
  <c r="J958" i="14"/>
  <c r="L958" i="14" s="1"/>
  <c r="H958" i="14"/>
  <c r="D958" i="14"/>
  <c r="J957" i="14"/>
  <c r="L957" i="14" s="1"/>
  <c r="H957" i="14"/>
  <c r="D957" i="14"/>
  <c r="J956" i="14"/>
  <c r="L956" i="14" s="1"/>
  <c r="H956" i="14"/>
  <c r="D956" i="14"/>
  <c r="L945" i="14"/>
  <c r="E945" i="14"/>
  <c r="D945" i="14"/>
  <c r="E944" i="14"/>
  <c r="D944" i="14"/>
  <c r="C943" i="14"/>
  <c r="K935" i="14"/>
  <c r="H935" i="14"/>
  <c r="J935" i="14" s="1"/>
  <c r="F935" i="14"/>
  <c r="D935" i="14"/>
  <c r="H934" i="14"/>
  <c r="J934" i="14" s="1"/>
  <c r="L934" i="14" s="1"/>
  <c r="F934" i="14"/>
  <c r="D934" i="14"/>
  <c r="L930" i="14"/>
  <c r="J922" i="14"/>
  <c r="L922" i="14" s="1"/>
  <c r="H922" i="14"/>
  <c r="D922" i="14"/>
  <c r="J921" i="14"/>
  <c r="L921" i="14" s="1"/>
  <c r="H921" i="14"/>
  <c r="D921" i="14"/>
  <c r="J920" i="14"/>
  <c r="L920" i="14" s="1"/>
  <c r="H920" i="14"/>
  <c r="D920" i="14"/>
  <c r="J919" i="14"/>
  <c r="L919" i="14" s="1"/>
  <c r="H919" i="14"/>
  <c r="D919" i="14"/>
  <c r="L908" i="14"/>
  <c r="E908" i="14"/>
  <c r="D908" i="14"/>
  <c r="E907" i="14"/>
  <c r="D907" i="14"/>
  <c r="C906" i="14"/>
  <c r="K898" i="14"/>
  <c r="H898" i="14"/>
  <c r="J898" i="14" s="1"/>
  <c r="F898" i="14"/>
  <c r="D898" i="14"/>
  <c r="H897" i="14"/>
  <c r="J897" i="14" s="1"/>
  <c r="L897" i="14" s="1"/>
  <c r="F897" i="14"/>
  <c r="D897" i="14"/>
  <c r="L893" i="14"/>
  <c r="J885" i="14"/>
  <c r="L885" i="14" s="1"/>
  <c r="H885" i="14"/>
  <c r="D885" i="14"/>
  <c r="J884" i="14"/>
  <c r="L884" i="14" s="1"/>
  <c r="H884" i="14"/>
  <c r="D884" i="14"/>
  <c r="J883" i="14"/>
  <c r="L883" i="14" s="1"/>
  <c r="H883" i="14"/>
  <c r="D883" i="14"/>
  <c r="J882" i="14"/>
  <c r="L882" i="14" s="1"/>
  <c r="H882" i="14"/>
  <c r="D882" i="14"/>
  <c r="L871" i="14"/>
  <c r="E871" i="14"/>
  <c r="D871" i="14"/>
  <c r="E870" i="14"/>
  <c r="D870" i="14"/>
  <c r="C869" i="14"/>
  <c r="H860" i="14"/>
  <c r="J860" i="14" s="1"/>
  <c r="L860" i="14" s="1"/>
  <c r="L863" i="14" s="1"/>
  <c r="F860" i="14"/>
  <c r="D860" i="14"/>
  <c r="L856" i="14"/>
  <c r="J848" i="14"/>
  <c r="L848" i="14" s="1"/>
  <c r="H848" i="14"/>
  <c r="D848" i="14"/>
  <c r="J847" i="14"/>
  <c r="L847" i="14" s="1"/>
  <c r="H847" i="14"/>
  <c r="D847" i="14"/>
  <c r="J846" i="14"/>
  <c r="L846" i="14" s="1"/>
  <c r="H846" i="14"/>
  <c r="D846" i="14"/>
  <c r="J845" i="14"/>
  <c r="L845" i="14" s="1"/>
  <c r="H845" i="14"/>
  <c r="D845" i="14"/>
  <c r="L834" i="14"/>
  <c r="E834" i="14"/>
  <c r="D834" i="14"/>
  <c r="E833" i="14"/>
  <c r="D833" i="14"/>
  <c r="C832" i="14"/>
  <c r="H823" i="14"/>
  <c r="J823" i="14" s="1"/>
  <c r="L823" i="14" s="1"/>
  <c r="L826" i="14" s="1"/>
  <c r="F823" i="14"/>
  <c r="D823" i="14"/>
  <c r="L819" i="14"/>
  <c r="J811" i="14"/>
  <c r="L811" i="14" s="1"/>
  <c r="H811" i="14"/>
  <c r="D811" i="14"/>
  <c r="J810" i="14"/>
  <c r="L810" i="14" s="1"/>
  <c r="H810" i="14"/>
  <c r="D810" i="14"/>
  <c r="J809" i="14"/>
  <c r="L809" i="14" s="1"/>
  <c r="H809" i="14"/>
  <c r="D809" i="14"/>
  <c r="J808" i="14"/>
  <c r="L808" i="14" s="1"/>
  <c r="H808" i="14"/>
  <c r="D808" i="14"/>
  <c r="L797" i="14"/>
  <c r="E797" i="14"/>
  <c r="D797" i="14"/>
  <c r="E796" i="14"/>
  <c r="D796" i="14"/>
  <c r="C795" i="14"/>
  <c r="H786" i="14"/>
  <c r="J786" i="14" s="1"/>
  <c r="L786" i="14" s="1"/>
  <c r="L789" i="14" s="1"/>
  <c r="F786" i="14"/>
  <c r="D786" i="14"/>
  <c r="L782" i="14"/>
  <c r="J774" i="14"/>
  <c r="L774" i="14" s="1"/>
  <c r="H774" i="14"/>
  <c r="D774" i="14"/>
  <c r="J773" i="14"/>
  <c r="L773" i="14" s="1"/>
  <c r="H773" i="14"/>
  <c r="D773" i="14"/>
  <c r="J772" i="14"/>
  <c r="L772" i="14" s="1"/>
  <c r="H772" i="14"/>
  <c r="D772" i="14"/>
  <c r="J771" i="14"/>
  <c r="L771" i="14" s="1"/>
  <c r="H771" i="14"/>
  <c r="D771" i="14"/>
  <c r="L760" i="14"/>
  <c r="E760" i="14"/>
  <c r="D760" i="14"/>
  <c r="E759" i="14"/>
  <c r="D759" i="14"/>
  <c r="C758" i="14"/>
  <c r="H749" i="14"/>
  <c r="J749" i="14" s="1"/>
  <c r="L749" i="14" s="1"/>
  <c r="L752" i="14" s="1"/>
  <c r="F749" i="14"/>
  <c r="D749" i="14"/>
  <c r="L745" i="14"/>
  <c r="J737" i="14"/>
  <c r="L737" i="14" s="1"/>
  <c r="H737" i="14"/>
  <c r="D737" i="14"/>
  <c r="J736" i="14"/>
  <c r="L736" i="14" s="1"/>
  <c r="H736" i="14"/>
  <c r="D736" i="14"/>
  <c r="J735" i="14"/>
  <c r="L735" i="14" s="1"/>
  <c r="H735" i="14"/>
  <c r="D735" i="14"/>
  <c r="J734" i="14"/>
  <c r="L734" i="14" s="1"/>
  <c r="H734" i="14"/>
  <c r="D734" i="14"/>
  <c r="L723" i="14"/>
  <c r="E723" i="14"/>
  <c r="D723" i="14"/>
  <c r="E722" i="14"/>
  <c r="D722" i="14"/>
  <c r="C721" i="14"/>
  <c r="H712" i="14"/>
  <c r="J712" i="14" s="1"/>
  <c r="L712" i="14" s="1"/>
  <c r="L715" i="14" s="1"/>
  <c r="F712" i="14"/>
  <c r="D712" i="14"/>
  <c r="L708" i="14"/>
  <c r="J700" i="14"/>
  <c r="L700" i="14" s="1"/>
  <c r="H700" i="14"/>
  <c r="D700" i="14"/>
  <c r="J699" i="14"/>
  <c r="L699" i="14" s="1"/>
  <c r="H699" i="14"/>
  <c r="D699" i="14"/>
  <c r="J698" i="14"/>
  <c r="L698" i="14" s="1"/>
  <c r="H698" i="14"/>
  <c r="D698" i="14"/>
  <c r="J697" i="14"/>
  <c r="L697" i="14" s="1"/>
  <c r="H697" i="14"/>
  <c r="D697" i="14"/>
  <c r="L686" i="14"/>
  <c r="E686" i="14"/>
  <c r="D686" i="14"/>
  <c r="E685" i="14"/>
  <c r="D685" i="14"/>
  <c r="C684" i="14"/>
  <c r="H675" i="14"/>
  <c r="J675" i="14" s="1"/>
  <c r="L675" i="14" s="1"/>
  <c r="L678" i="14" s="1"/>
  <c r="F675" i="14"/>
  <c r="D675" i="14"/>
  <c r="L671" i="14"/>
  <c r="J663" i="14"/>
  <c r="L663" i="14" s="1"/>
  <c r="H663" i="14"/>
  <c r="D663" i="14"/>
  <c r="J662" i="14"/>
  <c r="L662" i="14" s="1"/>
  <c r="H662" i="14"/>
  <c r="D662" i="14"/>
  <c r="J661" i="14"/>
  <c r="L661" i="14" s="1"/>
  <c r="H661" i="14"/>
  <c r="D661" i="14"/>
  <c r="J660" i="14"/>
  <c r="L660" i="14" s="1"/>
  <c r="H660" i="14"/>
  <c r="D660" i="14"/>
  <c r="L649" i="14"/>
  <c r="E649" i="14"/>
  <c r="D649" i="14"/>
  <c r="E648" i="14"/>
  <c r="D648" i="14"/>
  <c r="C647" i="14"/>
  <c r="H638" i="14"/>
  <c r="J638" i="14" s="1"/>
  <c r="L638" i="14" s="1"/>
  <c r="L641" i="14" s="1"/>
  <c r="F638" i="14"/>
  <c r="D638" i="14"/>
  <c r="L634" i="14"/>
  <c r="J626" i="14"/>
  <c r="L626" i="14" s="1"/>
  <c r="H626" i="14"/>
  <c r="D626" i="14"/>
  <c r="J625" i="14"/>
  <c r="L625" i="14" s="1"/>
  <c r="H625" i="14"/>
  <c r="D625" i="14"/>
  <c r="J624" i="14"/>
  <c r="L624" i="14" s="1"/>
  <c r="H624" i="14"/>
  <c r="D624" i="14"/>
  <c r="J623" i="14"/>
  <c r="L623" i="14" s="1"/>
  <c r="H623" i="14"/>
  <c r="D623" i="14"/>
  <c r="L612" i="14"/>
  <c r="E612" i="14"/>
  <c r="D612" i="14"/>
  <c r="E611" i="14"/>
  <c r="D611" i="14"/>
  <c r="C610" i="14"/>
  <c r="H532" i="14"/>
  <c r="J532" i="14" s="1"/>
  <c r="L532" i="14" s="1"/>
  <c r="F532" i="14"/>
  <c r="D532" i="14"/>
  <c r="H531" i="14"/>
  <c r="J531" i="14" s="1"/>
  <c r="L531" i="14" s="1"/>
  <c r="F531" i="14"/>
  <c r="D531" i="14"/>
  <c r="L527" i="14"/>
  <c r="L519" i="14"/>
  <c r="L521" i="14" s="1"/>
  <c r="K513" i="14"/>
  <c r="L513" i="14" s="1"/>
  <c r="I513" i="14"/>
  <c r="D513" i="14"/>
  <c r="C506" i="14"/>
  <c r="H498" i="14"/>
  <c r="J498" i="14" s="1"/>
  <c r="L498" i="14" s="1"/>
  <c r="F498" i="14"/>
  <c r="D498" i="14"/>
  <c r="H497" i="14"/>
  <c r="J497" i="14" s="1"/>
  <c r="L497" i="14" s="1"/>
  <c r="F497" i="14"/>
  <c r="D497" i="14"/>
  <c r="L493" i="14"/>
  <c r="L485" i="14"/>
  <c r="L487" i="14" s="1"/>
  <c r="C472" i="14"/>
  <c r="H464" i="14"/>
  <c r="J464" i="14" s="1"/>
  <c r="L464" i="14" s="1"/>
  <c r="F464" i="14"/>
  <c r="D464" i="14"/>
  <c r="H463" i="14"/>
  <c r="J463" i="14" s="1"/>
  <c r="L463" i="14" s="1"/>
  <c r="F463" i="14"/>
  <c r="D463" i="14"/>
  <c r="L459" i="14"/>
  <c r="L449" i="14"/>
  <c r="L452" i="14" s="1"/>
  <c r="C436" i="14"/>
  <c r="H428" i="14"/>
  <c r="J428" i="14" s="1"/>
  <c r="L428" i="14" s="1"/>
  <c r="F428" i="14"/>
  <c r="D428" i="14"/>
  <c r="H427" i="14"/>
  <c r="J427" i="14" s="1"/>
  <c r="L427" i="14" s="1"/>
  <c r="F427" i="14"/>
  <c r="D427" i="14"/>
  <c r="L423" i="14"/>
  <c r="L413" i="14"/>
  <c r="L416" i="14" s="1"/>
  <c r="C400" i="14"/>
  <c r="H392" i="14"/>
  <c r="J392" i="14" s="1"/>
  <c r="L392" i="14" s="1"/>
  <c r="F392" i="14"/>
  <c r="D392" i="14"/>
  <c r="H391" i="14"/>
  <c r="J391" i="14" s="1"/>
  <c r="L391" i="14" s="1"/>
  <c r="F391" i="14"/>
  <c r="D391" i="14"/>
  <c r="L387" i="14"/>
  <c r="L377" i="14"/>
  <c r="L380" i="14" s="1"/>
  <c r="C364" i="14"/>
  <c r="H356" i="14"/>
  <c r="J356" i="14" s="1"/>
  <c r="L356" i="14" s="1"/>
  <c r="F356" i="14"/>
  <c r="D356" i="14"/>
  <c r="H355" i="14"/>
  <c r="J355" i="14" s="1"/>
  <c r="L355" i="14" s="1"/>
  <c r="F355" i="14"/>
  <c r="D355" i="14"/>
  <c r="L351" i="14"/>
  <c r="J341" i="14"/>
  <c r="L341" i="14" s="1"/>
  <c r="L344" i="14" s="1"/>
  <c r="H341" i="14"/>
  <c r="D341" i="14"/>
  <c r="C341" i="14"/>
  <c r="L330" i="14"/>
  <c r="E330" i="14"/>
  <c r="D330" i="14"/>
  <c r="E329" i="14"/>
  <c r="D329" i="14"/>
  <c r="C328" i="14"/>
  <c r="H319" i="14"/>
  <c r="J319" i="14" s="1"/>
  <c r="L319" i="14" s="1"/>
  <c r="L322" i="14" s="1"/>
  <c r="F319" i="14"/>
  <c r="D319" i="14"/>
  <c r="L315" i="14"/>
  <c r="J304" i="14"/>
  <c r="L304" i="14" s="1"/>
  <c r="H304" i="14"/>
  <c r="D304" i="14"/>
  <c r="C304" i="14"/>
  <c r="J303" i="14"/>
  <c r="L303" i="14" s="1"/>
  <c r="H303" i="14"/>
  <c r="D303" i="14"/>
  <c r="C303" i="14"/>
  <c r="J302" i="14"/>
  <c r="L302" i="14" s="1"/>
  <c r="H302" i="14"/>
  <c r="D302" i="14"/>
  <c r="C302" i="14"/>
  <c r="L293" i="14"/>
  <c r="E293" i="14"/>
  <c r="D293" i="14"/>
  <c r="E292" i="14"/>
  <c r="D292" i="14"/>
  <c r="C291" i="14"/>
  <c r="H283" i="14"/>
  <c r="J283" i="14" s="1"/>
  <c r="L283" i="14" s="1"/>
  <c r="F283" i="14"/>
  <c r="D283" i="14"/>
  <c r="H282" i="14"/>
  <c r="J282" i="14" s="1"/>
  <c r="L282" i="14" s="1"/>
  <c r="F282" i="14"/>
  <c r="D282" i="14"/>
  <c r="L278" i="14"/>
  <c r="L269" i="14"/>
  <c r="J268" i="14"/>
  <c r="L268" i="14" s="1"/>
  <c r="H268" i="14"/>
  <c r="D268" i="14"/>
  <c r="C268" i="14"/>
  <c r="L257" i="14"/>
  <c r="E257" i="14"/>
  <c r="D257" i="14"/>
  <c r="E256" i="14"/>
  <c r="D256" i="14"/>
  <c r="C255" i="14"/>
  <c r="K247" i="14"/>
  <c r="H247" i="14"/>
  <c r="J247" i="14" s="1"/>
  <c r="F247" i="14"/>
  <c r="D247" i="14"/>
  <c r="H246" i="14"/>
  <c r="J246" i="14" s="1"/>
  <c r="L246" i="14" s="1"/>
  <c r="F246" i="14"/>
  <c r="D246" i="14"/>
  <c r="K239" i="14"/>
  <c r="L239" i="14" s="1"/>
  <c r="L242" i="14" s="1"/>
  <c r="I239" i="14"/>
  <c r="D239" i="14"/>
  <c r="C239" i="14"/>
  <c r="L235" i="14"/>
  <c r="L221" i="14"/>
  <c r="E221" i="14"/>
  <c r="D221" i="14"/>
  <c r="E220" i="14"/>
  <c r="D220" i="14"/>
  <c r="C219" i="14"/>
  <c r="K211" i="14"/>
  <c r="H211" i="14"/>
  <c r="J211" i="14" s="1"/>
  <c r="F211" i="14"/>
  <c r="D211" i="14"/>
  <c r="H210" i="14"/>
  <c r="J210" i="14" s="1"/>
  <c r="L210" i="14" s="1"/>
  <c r="F210" i="14"/>
  <c r="D210" i="14"/>
  <c r="L206" i="14"/>
  <c r="L199" i="14"/>
  <c r="K190" i="14"/>
  <c r="L190" i="14" s="1"/>
  <c r="I190" i="14"/>
  <c r="D190" i="14"/>
  <c r="L186" i="14"/>
  <c r="E186" i="14"/>
  <c r="D186" i="14"/>
  <c r="E185" i="14"/>
  <c r="D185" i="14"/>
  <c r="C184" i="14"/>
  <c r="H176" i="14"/>
  <c r="J176" i="14" s="1"/>
  <c r="L176" i="14" s="1"/>
  <c r="L178" i="14" s="1"/>
  <c r="F176" i="14"/>
  <c r="D176" i="14"/>
  <c r="L171" i="14"/>
  <c r="L165" i="14"/>
  <c r="L152" i="14"/>
  <c r="E152" i="14"/>
  <c r="D152" i="14"/>
  <c r="E151" i="14"/>
  <c r="D151" i="14"/>
  <c r="C150" i="14"/>
  <c r="H141" i="14"/>
  <c r="J141" i="14" s="1"/>
  <c r="L141" i="14" s="1"/>
  <c r="L144" i="14" s="1"/>
  <c r="F141" i="14"/>
  <c r="D141" i="14"/>
  <c r="L137" i="14"/>
  <c r="L130" i="14"/>
  <c r="L123" i="14"/>
  <c r="L122" i="14"/>
  <c r="L116" i="14"/>
  <c r="E116" i="14"/>
  <c r="D116" i="14"/>
  <c r="E115" i="14"/>
  <c r="D115" i="14"/>
  <c r="C114" i="14"/>
  <c r="H105" i="14"/>
  <c r="J105" i="14" s="1"/>
  <c r="L105" i="14" s="1"/>
  <c r="L108" i="14" s="1"/>
  <c r="F105" i="14"/>
  <c r="D105" i="14"/>
  <c r="L101" i="14"/>
  <c r="L94" i="14"/>
  <c r="L87" i="14"/>
  <c r="L86" i="14"/>
  <c r="L80" i="14"/>
  <c r="E80" i="14"/>
  <c r="D80" i="14"/>
  <c r="E79" i="14"/>
  <c r="D79" i="14"/>
  <c r="C78" i="14"/>
  <c r="H70" i="14"/>
  <c r="J70" i="14" s="1"/>
  <c r="L70" i="14" s="1"/>
  <c r="L72" i="14" s="1"/>
  <c r="F70" i="14"/>
  <c r="D70" i="14"/>
  <c r="L65" i="14"/>
  <c r="J56" i="14"/>
  <c r="L56" i="14" s="1"/>
  <c r="H56" i="14"/>
  <c r="D56" i="14"/>
  <c r="C56" i="14"/>
  <c r="J55" i="14"/>
  <c r="L55" i="14" s="1"/>
  <c r="H55" i="14"/>
  <c r="D55" i="14"/>
  <c r="C55" i="14"/>
  <c r="L44" i="14"/>
  <c r="E44" i="14"/>
  <c r="D44" i="14"/>
  <c r="E43" i="14"/>
  <c r="D43" i="14"/>
  <c r="C42" i="14"/>
  <c r="J34" i="14"/>
  <c r="L34" i="14" s="1"/>
  <c r="F34" i="14"/>
  <c r="J33" i="14"/>
  <c r="L33" i="14" s="1"/>
  <c r="F33" i="14"/>
  <c r="L29" i="14"/>
  <c r="J19" i="14"/>
  <c r="L19" i="14" s="1"/>
  <c r="H19" i="14"/>
  <c r="D19" i="14"/>
  <c r="C19" i="14"/>
  <c r="J18" i="14"/>
  <c r="L18" i="14" s="1"/>
  <c r="H18" i="14"/>
  <c r="D18" i="14"/>
  <c r="C18" i="14"/>
  <c r="J17" i="14"/>
  <c r="L17" i="14" s="1"/>
  <c r="H17" i="14"/>
  <c r="D17" i="14"/>
  <c r="C17" i="14"/>
  <c r="K12" i="14"/>
  <c r="L12" i="14" s="1"/>
  <c r="I12" i="14"/>
  <c r="D12" i="14"/>
  <c r="L6" i="14"/>
  <c r="E6" i="14"/>
  <c r="D6" i="14"/>
  <c r="E5" i="14"/>
  <c r="D5" i="14"/>
  <c r="C4" i="14"/>
  <c r="M14" i="13"/>
  <c r="N14" i="13" s="1"/>
  <c r="M15" i="13"/>
  <c r="M16" i="13"/>
  <c r="N16" i="13" s="1"/>
  <c r="M19" i="13"/>
  <c r="N19" i="13" s="1"/>
  <c r="M20" i="13"/>
  <c r="M21" i="13"/>
  <c r="M24" i="13"/>
  <c r="N24" i="13" s="1"/>
  <c r="M25" i="13"/>
  <c r="N25" i="13" s="1"/>
  <c r="M26" i="13"/>
  <c r="N26" i="13" s="1"/>
  <c r="M29" i="13"/>
  <c r="N29" i="13" s="1"/>
  <c r="M30" i="13"/>
  <c r="N30" i="13" s="1"/>
  <c r="M31" i="13"/>
  <c r="N31" i="13" s="1"/>
  <c r="M32" i="13"/>
  <c r="N32" i="13" s="1"/>
  <c r="M33" i="13"/>
  <c r="M34" i="13"/>
  <c r="N34" i="13" s="1"/>
  <c r="M35" i="13"/>
  <c r="N35" i="13" s="1"/>
  <c r="M36" i="13"/>
  <c r="N36" i="13" s="1"/>
  <c r="M37" i="13"/>
  <c r="N37" i="13" s="1"/>
  <c r="M38" i="13"/>
  <c r="N38" i="13" s="1"/>
  <c r="M39" i="13"/>
  <c r="N39" i="13" s="1"/>
  <c r="M40" i="13"/>
  <c r="M41" i="13"/>
  <c r="M42" i="13"/>
  <c r="M52" i="13"/>
  <c r="N52" i="13" s="1"/>
  <c r="M53" i="13"/>
  <c r="N53" i="13" s="1"/>
  <c r="M13" i="13"/>
  <c r="N13" i="13" s="1"/>
  <c r="J84" i="13"/>
  <c r="M62" i="13"/>
  <c r="L62" i="13"/>
  <c r="M61" i="13"/>
  <c r="L61" i="13"/>
  <c r="H61" i="13"/>
  <c r="M60" i="13"/>
  <c r="L60" i="13"/>
  <c r="M59" i="13"/>
  <c r="L59" i="13"/>
  <c r="M58" i="13"/>
  <c r="L58" i="13"/>
  <c r="H58" i="13"/>
  <c r="M57" i="13"/>
  <c r="L57" i="13"/>
  <c r="M56" i="13"/>
  <c r="L56" i="13"/>
  <c r="L53" i="13"/>
  <c r="J53" i="13"/>
  <c r="H53" i="13"/>
  <c r="F53" i="13"/>
  <c r="L52" i="13"/>
  <c r="L54" i="13" s="1"/>
  <c r="J52" i="13"/>
  <c r="H52" i="13"/>
  <c r="H54" i="13" s="1"/>
  <c r="F52" i="13"/>
  <c r="I50" i="13"/>
  <c r="L49" i="13"/>
  <c r="I49" i="13"/>
  <c r="M49" i="13" s="1"/>
  <c r="H49" i="13"/>
  <c r="F49" i="13"/>
  <c r="L48" i="13"/>
  <c r="I48" i="13"/>
  <c r="M48" i="13" s="1"/>
  <c r="H48" i="13"/>
  <c r="F48" i="13"/>
  <c r="L47" i="13"/>
  <c r="I47" i="13"/>
  <c r="M47" i="13" s="1"/>
  <c r="N47" i="13" s="1"/>
  <c r="H47" i="13"/>
  <c r="F47" i="13"/>
  <c r="L46" i="13"/>
  <c r="I46" i="13"/>
  <c r="J46" i="13" s="1"/>
  <c r="H46" i="13"/>
  <c r="F46" i="13"/>
  <c r="L45" i="13"/>
  <c r="I45" i="13"/>
  <c r="M45" i="13" s="1"/>
  <c r="N45" i="13" s="1"/>
  <c r="H45" i="13"/>
  <c r="F45" i="13"/>
  <c r="L44" i="13"/>
  <c r="I44" i="13"/>
  <c r="M44" i="13" s="1"/>
  <c r="N44" i="13" s="1"/>
  <c r="H44" i="13"/>
  <c r="F44" i="13"/>
  <c r="L43" i="13"/>
  <c r="I43" i="13"/>
  <c r="M43" i="13" s="1"/>
  <c r="H43" i="13"/>
  <c r="F43" i="13"/>
  <c r="L42" i="13"/>
  <c r="H42" i="13"/>
  <c r="F42" i="13"/>
  <c r="L41" i="13"/>
  <c r="H41" i="13"/>
  <c r="F41" i="13"/>
  <c r="L40" i="13"/>
  <c r="N40" i="13"/>
  <c r="H40" i="13"/>
  <c r="F40" i="13"/>
  <c r="L39" i="13"/>
  <c r="H39" i="13"/>
  <c r="F39" i="13"/>
  <c r="L38" i="13"/>
  <c r="J38" i="13"/>
  <c r="H38" i="13"/>
  <c r="F38" i="13"/>
  <c r="L37" i="13"/>
  <c r="J37" i="13"/>
  <c r="H37" i="13"/>
  <c r="F37" i="13"/>
  <c r="L36" i="13"/>
  <c r="J36" i="13"/>
  <c r="H36" i="13"/>
  <c r="F36" i="13"/>
  <c r="L35" i="13"/>
  <c r="H35" i="13"/>
  <c r="F35" i="13"/>
  <c r="L34" i="13"/>
  <c r="H34" i="13"/>
  <c r="F34" i="13"/>
  <c r="L33" i="13"/>
  <c r="N33" i="13"/>
  <c r="H33" i="13"/>
  <c r="F33" i="13"/>
  <c r="L32" i="13"/>
  <c r="H32" i="13"/>
  <c r="F32" i="13"/>
  <c r="L31" i="13"/>
  <c r="J31" i="13"/>
  <c r="H31" i="13"/>
  <c r="F31" i="13"/>
  <c r="L30" i="13"/>
  <c r="J30" i="13"/>
  <c r="H30" i="13"/>
  <c r="F30" i="13"/>
  <c r="L29" i="13"/>
  <c r="J29" i="13"/>
  <c r="H29" i="13"/>
  <c r="F29" i="13"/>
  <c r="I27" i="13"/>
  <c r="L26" i="13"/>
  <c r="H26" i="13"/>
  <c r="F26" i="13"/>
  <c r="L25" i="13"/>
  <c r="H25" i="13"/>
  <c r="F25" i="13"/>
  <c r="L24" i="13"/>
  <c r="H24" i="13"/>
  <c r="F24" i="13"/>
  <c r="I22" i="13"/>
  <c r="N21" i="13"/>
  <c r="L21" i="13"/>
  <c r="J21" i="13"/>
  <c r="H21" i="13"/>
  <c r="F21" i="13"/>
  <c r="N20" i="13"/>
  <c r="L20" i="13"/>
  <c r="J20" i="13"/>
  <c r="H20" i="13"/>
  <c r="F20" i="13"/>
  <c r="L19" i="13"/>
  <c r="H19" i="13"/>
  <c r="F19" i="13"/>
  <c r="I17" i="13"/>
  <c r="L16" i="13"/>
  <c r="H16" i="13"/>
  <c r="F16" i="13"/>
  <c r="N15" i="13"/>
  <c r="L15" i="13"/>
  <c r="J15" i="13"/>
  <c r="H15" i="13"/>
  <c r="F15" i="13"/>
  <c r="L14" i="13"/>
  <c r="J14" i="13"/>
  <c r="H14" i="13"/>
  <c r="F14" i="13"/>
  <c r="L13" i="13"/>
  <c r="J13" i="13"/>
  <c r="H13" i="13"/>
  <c r="H17" i="13" s="1"/>
  <c r="F13" i="13"/>
  <c r="F22" i="13" l="1"/>
  <c r="J45" i="13"/>
  <c r="F17" i="13"/>
  <c r="M46" i="13"/>
  <c r="N46" i="13" s="1"/>
  <c r="N34" i="16"/>
  <c r="N25" i="16"/>
  <c r="N46" i="16"/>
  <c r="N30" i="16"/>
  <c r="N49" i="16"/>
  <c r="N47" i="16"/>
  <c r="L54" i="15"/>
  <c r="N16" i="16"/>
  <c r="F65" i="16"/>
  <c r="F67" i="16" s="1"/>
  <c r="N29" i="16"/>
  <c r="O29" i="16"/>
  <c r="N43" i="16"/>
  <c r="N53" i="16"/>
  <c r="N54" i="16" s="1"/>
  <c r="N33" i="16"/>
  <c r="H54" i="16"/>
  <c r="N35" i="16"/>
  <c r="N15" i="16"/>
  <c r="H54" i="15"/>
  <c r="F65" i="15"/>
  <c r="P65" i="15" s="1"/>
  <c r="L972" i="14"/>
  <c r="L974" i="14" s="1"/>
  <c r="K951" i="14" s="1"/>
  <c r="L951" i="14" s="1"/>
  <c r="L952" i="14" s="1"/>
  <c r="O968" i="14" s="1"/>
  <c r="L775" i="14"/>
  <c r="L211" i="14"/>
  <c r="L213" i="14" s="1"/>
  <c r="L1083" i="14"/>
  <c r="L1085" i="14" s="1"/>
  <c r="L935" i="14"/>
  <c r="L937" i="14" s="1"/>
  <c r="K914" i="14" s="1"/>
  <c r="L914" i="14" s="1"/>
  <c r="L915" i="14" s="1"/>
  <c r="L58" i="14"/>
  <c r="L271" i="14"/>
  <c r="L812" i="14"/>
  <c r="L285" i="14"/>
  <c r="K262" i="14" s="1"/>
  <c r="L262" i="14" s="1"/>
  <c r="L264" i="14" s="1"/>
  <c r="L430" i="14"/>
  <c r="K408" i="14" s="1"/>
  <c r="L408" i="14" s="1"/>
  <c r="L409" i="14" s="1"/>
  <c r="O420" i="14" s="1"/>
  <c r="L627" i="14"/>
  <c r="L898" i="14"/>
  <c r="L900" i="14" s="1"/>
  <c r="K877" i="14" s="1"/>
  <c r="L877" i="14" s="1"/>
  <c r="L878" i="14" s="1"/>
  <c r="O894" i="14" s="1"/>
  <c r="L997" i="14"/>
  <c r="L1009" i="14"/>
  <c r="L1011" i="14" s="1"/>
  <c r="K988" i="14" s="1"/>
  <c r="L988" i="14" s="1"/>
  <c r="L989" i="14" s="1"/>
  <c r="O1005" i="14" s="1"/>
  <c r="L960" i="14"/>
  <c r="L1046" i="14"/>
  <c r="L1048" i="14" s="1"/>
  <c r="K1025" i="14" s="1"/>
  <c r="L1025" i="14" s="1"/>
  <c r="L1026" i="14" s="1"/>
  <c r="L36" i="14"/>
  <c r="K11" i="14" s="1"/>
  <c r="L11" i="14" s="1"/>
  <c r="L13" i="14" s="1"/>
  <c r="L247" i="14"/>
  <c r="L249" i="14" s="1"/>
  <c r="L358" i="14"/>
  <c r="K336" i="14" s="1"/>
  <c r="L336" i="14" s="1"/>
  <c r="L337" i="14" s="1"/>
  <c r="K360" i="14" s="1"/>
  <c r="H62" i="13"/>
  <c r="K121" i="14"/>
  <c r="L121" i="14" s="1"/>
  <c r="L124" i="14" s="1"/>
  <c r="K146" i="14" s="1"/>
  <c r="L308" i="14"/>
  <c r="K692" i="14"/>
  <c r="L692" i="14" s="1"/>
  <c r="L693" i="14" s="1"/>
  <c r="O709" i="14" s="1"/>
  <c r="L534" i="14"/>
  <c r="K618" i="14"/>
  <c r="L618" i="14" s="1"/>
  <c r="L619" i="14" s="1"/>
  <c r="O632" i="14" s="1"/>
  <c r="K655" i="14"/>
  <c r="L655" i="14" s="1"/>
  <c r="L656" i="14" s="1"/>
  <c r="O672" i="14" s="1"/>
  <c r="K729" i="14"/>
  <c r="L729" i="14" s="1"/>
  <c r="L730" i="14" s="1"/>
  <c r="O746" i="14" s="1"/>
  <c r="L466" i="14"/>
  <c r="L664" i="14"/>
  <c r="L701" i="14"/>
  <c r="L738" i="14"/>
  <c r="L1122" i="14"/>
  <c r="K85" i="14"/>
  <c r="L85" i="14" s="1"/>
  <c r="L88" i="14" s="1"/>
  <c r="K110" i="14" s="1"/>
  <c r="L394" i="14"/>
  <c r="L500" i="14"/>
  <c r="L923" i="14"/>
  <c r="K840" i="14"/>
  <c r="L840" i="14" s="1"/>
  <c r="L841" i="14" s="1"/>
  <c r="O857" i="14" s="1"/>
  <c r="L22" i="14"/>
  <c r="K157" i="14"/>
  <c r="L157" i="14" s="1"/>
  <c r="L159" i="14" s="1"/>
  <c r="K180" i="14" s="1"/>
  <c r="K297" i="14"/>
  <c r="L297" i="14" s="1"/>
  <c r="L298" i="14" s="1"/>
  <c r="L886" i="14"/>
  <c r="K49" i="14"/>
  <c r="L49" i="14" s="1"/>
  <c r="L51" i="14" s="1"/>
  <c r="K803" i="14"/>
  <c r="L803" i="14" s="1"/>
  <c r="L804" i="14" s="1"/>
  <c r="O820" i="14" s="1"/>
  <c r="L849" i="14"/>
  <c r="K1194" i="14"/>
  <c r="K766" i="14"/>
  <c r="L766" i="14" s="1"/>
  <c r="L767" i="14" s="1"/>
  <c r="O1186" i="14"/>
  <c r="K1136" i="14"/>
  <c r="L1136" i="14" s="1"/>
  <c r="L1137" i="14" s="1"/>
  <c r="O1151" i="14" s="1"/>
  <c r="H22" i="13"/>
  <c r="L22" i="13"/>
  <c r="F50" i="13"/>
  <c r="J47" i="13"/>
  <c r="N49" i="13"/>
  <c r="L50" i="13"/>
  <c r="F54" i="13"/>
  <c r="L17" i="13"/>
  <c r="F27" i="13"/>
  <c r="N48" i="13"/>
  <c r="H27" i="13"/>
  <c r="H50" i="13"/>
  <c r="J44" i="13"/>
  <c r="H63" i="13"/>
  <c r="L63" i="13"/>
  <c r="J54" i="13"/>
  <c r="L27" i="13"/>
  <c r="N42" i="13"/>
  <c r="N54" i="13"/>
  <c r="N41" i="13"/>
  <c r="N43" i="13"/>
  <c r="N22" i="13"/>
  <c r="N27" i="13"/>
  <c r="N17" i="13"/>
  <c r="J19" i="13"/>
  <c r="J22" i="13" s="1"/>
  <c r="J35" i="13"/>
  <c r="J43" i="13"/>
  <c r="J26" i="13"/>
  <c r="J34" i="13"/>
  <c r="J42" i="13"/>
  <c r="J25" i="13"/>
  <c r="J33" i="13"/>
  <c r="J41" i="13"/>
  <c r="J49" i="13"/>
  <c r="J16" i="13"/>
  <c r="J17" i="13" s="1"/>
  <c r="J24" i="13"/>
  <c r="J32" i="13"/>
  <c r="J40" i="13"/>
  <c r="J48" i="13"/>
  <c r="L53" i="11"/>
  <c r="L52" i="11"/>
  <c r="L30" i="11"/>
  <c r="L31" i="11"/>
  <c r="L32" i="11"/>
  <c r="L33" i="11"/>
  <c r="L34" i="11"/>
  <c r="L35" i="11"/>
  <c r="L36" i="11"/>
  <c r="L37" i="11"/>
  <c r="L38" i="11"/>
  <c r="L39" i="11"/>
  <c r="L40" i="11"/>
  <c r="L41" i="11"/>
  <c r="L42" i="11"/>
  <c r="L43" i="11"/>
  <c r="L44" i="11"/>
  <c r="L45" i="11"/>
  <c r="L46" i="11"/>
  <c r="L47" i="11"/>
  <c r="L48" i="11"/>
  <c r="L49" i="11"/>
  <c r="L29" i="11"/>
  <c r="L25" i="11"/>
  <c r="L26" i="11"/>
  <c r="L24" i="11"/>
  <c r="L20" i="11"/>
  <c r="L21" i="11"/>
  <c r="L19" i="11"/>
  <c r="L14" i="11"/>
  <c r="L15" i="11"/>
  <c r="L16" i="11"/>
  <c r="L13" i="11"/>
  <c r="L63" i="11"/>
  <c r="L62" i="11"/>
  <c r="L61" i="11"/>
  <c r="L60" i="11"/>
  <c r="L59" i="11"/>
  <c r="L58" i="11"/>
  <c r="L57" i="11"/>
  <c r="L56" i="11"/>
  <c r="L64" i="11" l="1"/>
  <c r="H65" i="13"/>
  <c r="E62" i="13"/>
  <c r="F62" i="13" s="1"/>
  <c r="F68" i="16"/>
  <c r="F66" i="16"/>
  <c r="F68" i="15"/>
  <c r="P68" i="15" s="1"/>
  <c r="F66" i="15"/>
  <c r="P66" i="15" s="1"/>
  <c r="F67" i="15"/>
  <c r="P67" i="15" s="1"/>
  <c r="K791" i="14"/>
  <c r="K939" i="14"/>
  <c r="K754" i="14"/>
  <c r="K287" i="14"/>
  <c r="K865" i="14"/>
  <c r="K74" i="14"/>
  <c r="K38" i="14"/>
  <c r="K976" i="14"/>
  <c r="K717" i="14"/>
  <c r="K680" i="14"/>
  <c r="O931" i="14"/>
  <c r="K828" i="14"/>
  <c r="O783" i="14"/>
  <c r="K643" i="14"/>
  <c r="K1013" i="14"/>
  <c r="N62" i="13"/>
  <c r="K432" i="14"/>
  <c r="K902" i="14"/>
  <c r="K324" i="14"/>
  <c r="O1042" i="14"/>
  <c r="K1159" i="14"/>
  <c r="K1099" i="14"/>
  <c r="L1099" i="14" s="1"/>
  <c r="L1100" i="14" s="1"/>
  <c r="O1116" i="14" s="1"/>
  <c r="K480" i="14"/>
  <c r="L480" i="14" s="1"/>
  <c r="L481" i="14" s="1"/>
  <c r="O491" i="14" s="1"/>
  <c r="K444" i="14"/>
  <c r="L444" i="14" s="1"/>
  <c r="L445" i="14" s="1"/>
  <c r="K468" i="14" s="1"/>
  <c r="K372" i="14"/>
  <c r="L372" i="14" s="1"/>
  <c r="L373" i="14" s="1"/>
  <c r="O383" i="14" s="1"/>
  <c r="K191" i="14"/>
  <c r="L191" i="14" s="1"/>
  <c r="L193" i="14" s="1"/>
  <c r="K215" i="14" s="1"/>
  <c r="K226" i="14"/>
  <c r="L226" i="14" s="1"/>
  <c r="L228" i="14" s="1"/>
  <c r="K251" i="14" s="1"/>
  <c r="K514" i="14"/>
  <c r="L514" i="14" s="1"/>
  <c r="L515" i="14" s="1"/>
  <c r="O525" i="14" s="1"/>
  <c r="K1062" i="14"/>
  <c r="L1062" i="14" s="1"/>
  <c r="L1063" i="14" s="1"/>
  <c r="N50" i="13"/>
  <c r="L65" i="13"/>
  <c r="J50" i="13"/>
  <c r="H68" i="13"/>
  <c r="H67" i="13"/>
  <c r="H66" i="13"/>
  <c r="H69" i="13" s="1"/>
  <c r="J27" i="13"/>
  <c r="L27" i="11"/>
  <c r="L17" i="11"/>
  <c r="L22" i="11"/>
  <c r="L50" i="11"/>
  <c r="L54" i="11"/>
  <c r="H24" i="12"/>
  <c r="H23" i="12"/>
  <c r="H22" i="12"/>
  <c r="H9" i="12"/>
  <c r="H10" i="12"/>
  <c r="H11" i="12"/>
  <c r="E58" i="17" l="1"/>
  <c r="E57" i="17"/>
  <c r="F69" i="16"/>
  <c r="J5" i="16" s="1"/>
  <c r="O5" i="16" s="1"/>
  <c r="E58" i="13"/>
  <c r="N58" i="13" s="1"/>
  <c r="E58" i="15"/>
  <c r="J58" i="15" s="1"/>
  <c r="E58" i="16"/>
  <c r="E57" i="13"/>
  <c r="N57" i="13" s="1"/>
  <c r="E57" i="16"/>
  <c r="E57" i="15"/>
  <c r="J57" i="15" s="1"/>
  <c r="J62" i="13"/>
  <c r="F69" i="15"/>
  <c r="O1079" i="14"/>
  <c r="K536" i="14"/>
  <c r="K502" i="14"/>
  <c r="O456" i="14"/>
  <c r="K396" i="14"/>
  <c r="L66" i="11"/>
  <c r="H447" i="12"/>
  <c r="H450" i="12" s="1"/>
  <c r="C453" i="12" s="1"/>
  <c r="H464" i="12"/>
  <c r="H467" i="12" s="1"/>
  <c r="H401" i="12"/>
  <c r="H404" i="12" s="1"/>
  <c r="C407" i="12" s="1"/>
  <c r="H378" i="12"/>
  <c r="H381" i="12" s="1"/>
  <c r="C384" i="12" s="1"/>
  <c r="H355" i="12"/>
  <c r="H358" i="12" s="1"/>
  <c r="C361" i="12" s="1"/>
  <c r="H332" i="12"/>
  <c r="H335" i="12" s="1"/>
  <c r="C338" i="12" s="1"/>
  <c r="G327" i="12"/>
  <c r="B327" i="12"/>
  <c r="H309" i="12"/>
  <c r="H312" i="12" s="1"/>
  <c r="C315" i="12" s="1"/>
  <c r="H286" i="12"/>
  <c r="H289" i="12" s="1"/>
  <c r="C292" i="12" s="1"/>
  <c r="H241" i="12"/>
  <c r="H240" i="12"/>
  <c r="H206" i="12"/>
  <c r="H205" i="12"/>
  <c r="H183" i="12"/>
  <c r="H161" i="12"/>
  <c r="H162" i="12"/>
  <c r="H160" i="12"/>
  <c r="H142" i="12"/>
  <c r="H145" i="12" s="1"/>
  <c r="H127" i="12"/>
  <c r="H128" i="12"/>
  <c r="H126" i="12"/>
  <c r="H112" i="12"/>
  <c r="H113" i="12"/>
  <c r="H114" i="12"/>
  <c r="H111" i="12"/>
  <c r="H98" i="12"/>
  <c r="H101" i="12" s="1"/>
  <c r="H87" i="12"/>
  <c r="H86" i="12"/>
  <c r="H84" i="12"/>
  <c r="H83" i="12"/>
  <c r="H82" i="12"/>
  <c r="H81" i="12"/>
  <c r="H80" i="12"/>
  <c r="H63" i="12"/>
  <c r="H64" i="12"/>
  <c r="H65" i="12"/>
  <c r="H66" i="12"/>
  <c r="H67" i="12"/>
  <c r="H69" i="12"/>
  <c r="H62" i="12"/>
  <c r="H49" i="12"/>
  <c r="H48" i="12"/>
  <c r="H36" i="12"/>
  <c r="H35" i="12"/>
  <c r="O33" i="12"/>
  <c r="G459" i="12"/>
  <c r="B459" i="12"/>
  <c r="G419" i="12"/>
  <c r="B419" i="12"/>
  <c r="G396" i="12"/>
  <c r="B396" i="12"/>
  <c r="G373" i="12"/>
  <c r="B373" i="12"/>
  <c r="G350" i="12"/>
  <c r="B350" i="12"/>
  <c r="G304" i="12"/>
  <c r="B304" i="12"/>
  <c r="G258" i="12"/>
  <c r="B258" i="12"/>
  <c r="G235" i="12"/>
  <c r="B235" i="12"/>
  <c r="G216" i="12"/>
  <c r="B216" i="12"/>
  <c r="G200" i="12"/>
  <c r="B200" i="12"/>
  <c r="G178" i="12"/>
  <c r="B178" i="12"/>
  <c r="G155" i="12"/>
  <c r="B155" i="12"/>
  <c r="G137" i="12"/>
  <c r="B137" i="12"/>
  <c r="G121" i="12"/>
  <c r="B121" i="12"/>
  <c r="G106" i="12"/>
  <c r="B106" i="12"/>
  <c r="G93" i="12"/>
  <c r="B93" i="12"/>
  <c r="G75" i="12"/>
  <c r="B75" i="12"/>
  <c r="G57" i="12"/>
  <c r="B57" i="12"/>
  <c r="G43" i="12"/>
  <c r="B43" i="12"/>
  <c r="G30" i="12"/>
  <c r="B30" i="12"/>
  <c r="G17" i="12"/>
  <c r="B17" i="12"/>
  <c r="H424" i="12"/>
  <c r="H427" i="12" s="1"/>
  <c r="C430" i="12" s="1"/>
  <c r="H263" i="12"/>
  <c r="H266" i="12" s="1"/>
  <c r="C269" i="12" s="1"/>
  <c r="G4" i="12"/>
  <c r="B4" i="12"/>
  <c r="P58" i="17" l="1"/>
  <c r="J58" i="17"/>
  <c r="L58" i="17"/>
  <c r="H58" i="17"/>
  <c r="N58" i="17"/>
  <c r="E59" i="16"/>
  <c r="N59" i="16" s="1"/>
  <c r="E59" i="17"/>
  <c r="E56" i="17"/>
  <c r="E60" i="16"/>
  <c r="H60" i="16" s="1"/>
  <c r="E60" i="17"/>
  <c r="J57" i="17"/>
  <c r="N57" i="17"/>
  <c r="L57" i="17"/>
  <c r="P57" i="17"/>
  <c r="H57" i="17"/>
  <c r="J7" i="16"/>
  <c r="F70" i="16"/>
  <c r="F57" i="13"/>
  <c r="E56" i="13"/>
  <c r="F56" i="13" s="1"/>
  <c r="E56" i="16"/>
  <c r="E56" i="15"/>
  <c r="J56" i="15" s="1"/>
  <c r="J58" i="13"/>
  <c r="J58" i="16"/>
  <c r="N58" i="16"/>
  <c r="L58" i="16"/>
  <c r="H58" i="16"/>
  <c r="H57" i="15"/>
  <c r="L57" i="15"/>
  <c r="F58" i="13"/>
  <c r="N57" i="16"/>
  <c r="J57" i="16"/>
  <c r="H57" i="16"/>
  <c r="L57" i="16"/>
  <c r="J60" i="16"/>
  <c r="N60" i="16"/>
  <c r="H58" i="15"/>
  <c r="L58" i="15"/>
  <c r="J57" i="13"/>
  <c r="I5" i="15"/>
  <c r="M5" i="15" s="1"/>
  <c r="P69" i="15"/>
  <c r="E61" i="13"/>
  <c r="N61" i="13" s="1"/>
  <c r="E60" i="13"/>
  <c r="J60" i="13" s="1"/>
  <c r="E60" i="15"/>
  <c r="J60" i="15" s="1"/>
  <c r="E59" i="13"/>
  <c r="F59" i="13" s="1"/>
  <c r="E59" i="15"/>
  <c r="J59" i="15" s="1"/>
  <c r="F70" i="15"/>
  <c r="L69" i="11"/>
  <c r="L68" i="11"/>
  <c r="L67" i="11"/>
  <c r="H115" i="12"/>
  <c r="H185" i="12"/>
  <c r="C188" i="12" s="1"/>
  <c r="H224" i="12"/>
  <c r="H12" i="12"/>
  <c r="H243" i="12"/>
  <c r="C246" i="12" s="1"/>
  <c r="H207" i="12"/>
  <c r="C210" i="12" s="1"/>
  <c r="H163" i="12"/>
  <c r="C166" i="12" s="1"/>
  <c r="H132" i="12"/>
  <c r="H88" i="12"/>
  <c r="H70" i="12"/>
  <c r="H52" i="12"/>
  <c r="H38" i="12"/>
  <c r="H25" i="12"/>
  <c r="G34" i="10"/>
  <c r="G19" i="10"/>
  <c r="G7" i="10"/>
  <c r="I14" i="11" s="1"/>
  <c r="M14" i="11" s="1"/>
  <c r="G6" i="10"/>
  <c r="I13" i="11"/>
  <c r="M13" i="11" s="1"/>
  <c r="G35" i="10"/>
  <c r="G33" i="10"/>
  <c r="G32" i="10"/>
  <c r="G31" i="10"/>
  <c r="G30" i="10"/>
  <c r="G29" i="10"/>
  <c r="G12" i="10"/>
  <c r="I15" i="11"/>
  <c r="M15" i="11" s="1"/>
  <c r="I16" i="11"/>
  <c r="M16" i="11" s="1"/>
  <c r="I17" i="11"/>
  <c r="I20" i="11"/>
  <c r="M20" i="11" s="1"/>
  <c r="I21" i="11"/>
  <c r="M21" i="11" s="1"/>
  <c r="I22" i="11"/>
  <c r="I24" i="11"/>
  <c r="M24" i="11" s="1"/>
  <c r="I25" i="11"/>
  <c r="M25" i="11" s="1"/>
  <c r="I27" i="11"/>
  <c r="I29" i="11"/>
  <c r="M29" i="11" s="1"/>
  <c r="I30" i="11"/>
  <c r="M30" i="11" s="1"/>
  <c r="I31" i="11"/>
  <c r="M31" i="11" s="1"/>
  <c r="I32" i="11"/>
  <c r="M32" i="11" s="1"/>
  <c r="I33" i="11"/>
  <c r="M33" i="11" s="1"/>
  <c r="I34" i="11"/>
  <c r="M34" i="11" s="1"/>
  <c r="I35" i="11"/>
  <c r="M35" i="11" s="1"/>
  <c r="I39" i="11"/>
  <c r="M39" i="11" s="1"/>
  <c r="I43" i="11"/>
  <c r="M43" i="11" s="1"/>
  <c r="I44" i="11"/>
  <c r="M44" i="11" s="1"/>
  <c r="I45" i="11"/>
  <c r="M45" i="11" s="1"/>
  <c r="I46" i="11"/>
  <c r="M46" i="11" s="1"/>
  <c r="I47" i="11"/>
  <c r="M47" i="11" s="1"/>
  <c r="I48" i="11"/>
  <c r="M48" i="11" s="1"/>
  <c r="I49" i="11"/>
  <c r="M49" i="11" s="1"/>
  <c r="I50" i="11"/>
  <c r="I52" i="11"/>
  <c r="M52" i="11" s="1"/>
  <c r="I53" i="11"/>
  <c r="M53" i="11" s="1"/>
  <c r="L60" i="16" l="1"/>
  <c r="H59" i="16"/>
  <c r="J59" i="16"/>
  <c r="G42" i="17"/>
  <c r="G42" i="16"/>
  <c r="G42" i="15"/>
  <c r="I26" i="11"/>
  <c r="M26" i="11" s="1"/>
  <c r="N26" i="11" s="1"/>
  <c r="G26" i="17"/>
  <c r="G26" i="16"/>
  <c r="G26" i="15"/>
  <c r="P60" i="17"/>
  <c r="H60" i="17"/>
  <c r="L60" i="17"/>
  <c r="J60" i="17"/>
  <c r="N60" i="17"/>
  <c r="I38" i="11"/>
  <c r="M38" i="11" s="1"/>
  <c r="N38" i="11" s="1"/>
  <c r="G38" i="17"/>
  <c r="G38" i="16"/>
  <c r="G38" i="15"/>
  <c r="I41" i="11"/>
  <c r="M41" i="11" s="1"/>
  <c r="G41" i="17"/>
  <c r="G41" i="16"/>
  <c r="G41" i="15"/>
  <c r="J63" i="15"/>
  <c r="I19" i="11"/>
  <c r="M19" i="11" s="1"/>
  <c r="G19" i="17"/>
  <c r="G19" i="16"/>
  <c r="G19" i="15"/>
  <c r="G39" i="17"/>
  <c r="G39" i="15"/>
  <c r="G39" i="16"/>
  <c r="G13" i="17"/>
  <c r="G13" i="15"/>
  <c r="G13" i="16"/>
  <c r="L59" i="16"/>
  <c r="I37" i="11"/>
  <c r="M37" i="11" s="1"/>
  <c r="N37" i="11" s="1"/>
  <c r="G37" i="17"/>
  <c r="G37" i="16"/>
  <c r="G37" i="15"/>
  <c r="I42" i="11"/>
  <c r="M42" i="11" s="1"/>
  <c r="N42" i="11" s="1"/>
  <c r="I36" i="11"/>
  <c r="M36" i="11" s="1"/>
  <c r="N36" i="11" s="1"/>
  <c r="G36" i="17"/>
  <c r="G36" i="15"/>
  <c r="G36" i="16"/>
  <c r="I40" i="11"/>
  <c r="M40" i="11" s="1"/>
  <c r="N40" i="11" s="1"/>
  <c r="G40" i="17"/>
  <c r="G40" i="15"/>
  <c r="G40" i="16"/>
  <c r="G14" i="17"/>
  <c r="G14" i="15"/>
  <c r="G14" i="16"/>
  <c r="H56" i="17"/>
  <c r="L56" i="17"/>
  <c r="N56" i="17"/>
  <c r="P56" i="17"/>
  <c r="J56" i="17"/>
  <c r="H59" i="17"/>
  <c r="J59" i="17"/>
  <c r="N59" i="17"/>
  <c r="P59" i="17"/>
  <c r="L59" i="17"/>
  <c r="J59" i="13"/>
  <c r="N59" i="13"/>
  <c r="N60" i="13"/>
  <c r="J56" i="16"/>
  <c r="N56" i="16"/>
  <c r="N63" i="16" s="1"/>
  <c r="L56" i="16"/>
  <c r="H56" i="16"/>
  <c r="F60" i="13"/>
  <c r="J56" i="13"/>
  <c r="N56" i="13"/>
  <c r="L56" i="15"/>
  <c r="H56" i="15"/>
  <c r="I7" i="15"/>
  <c r="J61" i="13"/>
  <c r="F61" i="13"/>
  <c r="H60" i="15"/>
  <c r="L60" i="15"/>
  <c r="H59" i="15"/>
  <c r="L59" i="15"/>
  <c r="L70" i="11"/>
  <c r="L76" i="11" s="1"/>
  <c r="N53" i="11"/>
  <c r="N52" i="11"/>
  <c r="N43" i="11"/>
  <c r="N44" i="11"/>
  <c r="N45" i="11"/>
  <c r="N46" i="11"/>
  <c r="N47" i="11"/>
  <c r="N48" i="11"/>
  <c r="N49" i="11"/>
  <c r="N30" i="11"/>
  <c r="N31" i="11"/>
  <c r="N32" i="11"/>
  <c r="N33" i="11"/>
  <c r="N34" i="11"/>
  <c r="N35" i="11"/>
  <c r="N39" i="11"/>
  <c r="N41" i="11"/>
  <c r="N29" i="11"/>
  <c r="N25" i="11"/>
  <c r="N24" i="11"/>
  <c r="N20" i="11"/>
  <c r="N21" i="11"/>
  <c r="N19" i="11"/>
  <c r="N14" i="11"/>
  <c r="N15" i="11"/>
  <c r="N16" i="11"/>
  <c r="N13" i="11"/>
  <c r="J53" i="11"/>
  <c r="J52" i="11"/>
  <c r="J30" i="11"/>
  <c r="J31" i="11"/>
  <c r="J32" i="11"/>
  <c r="J33" i="11"/>
  <c r="J34" i="11"/>
  <c r="J35" i="11"/>
  <c r="J39" i="11"/>
  <c r="J40" i="11"/>
  <c r="J41" i="11"/>
  <c r="J42" i="11"/>
  <c r="J43" i="11"/>
  <c r="J44" i="11"/>
  <c r="J45" i="11"/>
  <c r="J46" i="11"/>
  <c r="J47" i="11"/>
  <c r="J48" i="11"/>
  <c r="J49" i="11"/>
  <c r="J29" i="11"/>
  <c r="J25" i="11"/>
  <c r="J26" i="11"/>
  <c r="J24" i="11"/>
  <c r="J20" i="11"/>
  <c r="J21" i="11"/>
  <c r="J19" i="11"/>
  <c r="J14" i="11"/>
  <c r="J15" i="11"/>
  <c r="J16" i="11"/>
  <c r="J13" i="11"/>
  <c r="H53" i="11"/>
  <c r="H52" i="11"/>
  <c r="H30" i="11"/>
  <c r="H31" i="11"/>
  <c r="H32" i="11"/>
  <c r="H33" i="11"/>
  <c r="H34" i="11"/>
  <c r="H35" i="11"/>
  <c r="H36" i="11"/>
  <c r="H37" i="11"/>
  <c r="H38" i="11"/>
  <c r="H39" i="11"/>
  <c r="H40" i="11"/>
  <c r="H41" i="11"/>
  <c r="H42" i="11"/>
  <c r="H43" i="11"/>
  <c r="H44" i="11"/>
  <c r="H45" i="11"/>
  <c r="H46" i="11"/>
  <c r="H47" i="11"/>
  <c r="H48" i="11"/>
  <c r="H49" i="11"/>
  <c r="H29" i="11"/>
  <c r="H25" i="11"/>
  <c r="H26" i="11"/>
  <c r="H24" i="11"/>
  <c r="H20" i="11"/>
  <c r="H21" i="11"/>
  <c r="H19" i="11"/>
  <c r="H14" i="11"/>
  <c r="H15" i="11"/>
  <c r="H16" i="11"/>
  <c r="H13" i="11"/>
  <c r="F52" i="11"/>
  <c r="F30" i="11"/>
  <c r="F31" i="11"/>
  <c r="F32" i="11"/>
  <c r="F33" i="11"/>
  <c r="F34" i="11"/>
  <c r="F35" i="11"/>
  <c r="F36" i="11"/>
  <c r="F37" i="11"/>
  <c r="F38" i="11"/>
  <c r="F39" i="11"/>
  <c r="F40" i="11"/>
  <c r="F41" i="11"/>
  <c r="F25" i="11"/>
  <c r="F19" i="11"/>
  <c r="F20" i="11"/>
  <c r="F15" i="11"/>
  <c r="J85" i="11"/>
  <c r="M63" i="11"/>
  <c r="N63" i="11" s="1"/>
  <c r="J63" i="11"/>
  <c r="H63" i="11"/>
  <c r="F63" i="11"/>
  <c r="M62" i="11"/>
  <c r="N62" i="11" s="1"/>
  <c r="J62" i="11"/>
  <c r="H62" i="11"/>
  <c r="F62" i="11"/>
  <c r="M61" i="11"/>
  <c r="N61" i="11" s="1"/>
  <c r="J61" i="11"/>
  <c r="H61" i="11"/>
  <c r="F61" i="11"/>
  <c r="M60" i="11"/>
  <c r="N60" i="11" s="1"/>
  <c r="J60" i="11"/>
  <c r="H60" i="11"/>
  <c r="F60" i="11"/>
  <c r="M59" i="11"/>
  <c r="N59" i="11" s="1"/>
  <c r="J59" i="11"/>
  <c r="H59" i="11"/>
  <c r="F59" i="11"/>
  <c r="M58" i="11"/>
  <c r="N58" i="11" s="1"/>
  <c r="J58" i="11"/>
  <c r="H58" i="11"/>
  <c r="F58" i="11"/>
  <c r="M57" i="11"/>
  <c r="N57" i="11" s="1"/>
  <c r="J57" i="11"/>
  <c r="H57" i="11"/>
  <c r="F57" i="11"/>
  <c r="M56" i="11"/>
  <c r="N56" i="11" s="1"/>
  <c r="J56" i="11"/>
  <c r="J64" i="11" s="1"/>
  <c r="H56" i="11"/>
  <c r="F56" i="11"/>
  <c r="F53" i="11"/>
  <c r="F49" i="11"/>
  <c r="F48" i="11"/>
  <c r="F47" i="11"/>
  <c r="F46" i="11"/>
  <c r="F45" i="11"/>
  <c r="F44" i="11"/>
  <c r="F43" i="11"/>
  <c r="F42" i="11"/>
  <c r="F29" i="11"/>
  <c r="F26" i="11"/>
  <c r="F24" i="11"/>
  <c r="F21" i="11"/>
  <c r="F16" i="11"/>
  <c r="F14" i="11"/>
  <c r="F13" i="11"/>
  <c r="F17" i="11" l="1"/>
  <c r="F22" i="11"/>
  <c r="F54" i="11"/>
  <c r="J38" i="11"/>
  <c r="J63" i="16"/>
  <c r="J65" i="16" s="1"/>
  <c r="F84" i="16" s="1"/>
  <c r="N65" i="17"/>
  <c r="N67" i="17" s="1"/>
  <c r="N68" i="17" s="1"/>
  <c r="N70" i="17"/>
  <c r="H14" i="15"/>
  <c r="K14" i="15"/>
  <c r="L14" i="15" s="1"/>
  <c r="H40" i="15"/>
  <c r="K40" i="15"/>
  <c r="L40" i="15" s="1"/>
  <c r="H36" i="16"/>
  <c r="M36" i="16"/>
  <c r="T36" i="16"/>
  <c r="K37" i="15"/>
  <c r="L37" i="15" s="1"/>
  <c r="H37" i="15"/>
  <c r="H13" i="17"/>
  <c r="V13" i="17"/>
  <c r="O13" i="17"/>
  <c r="H39" i="17"/>
  <c r="V39" i="17"/>
  <c r="O39" i="17"/>
  <c r="O19" i="17"/>
  <c r="V19" i="17"/>
  <c r="H19" i="17"/>
  <c r="H22" i="17" s="1"/>
  <c r="H41" i="17"/>
  <c r="O41" i="17"/>
  <c r="V41" i="17"/>
  <c r="T38" i="16"/>
  <c r="H38" i="16"/>
  <c r="M38" i="16"/>
  <c r="H26" i="16"/>
  <c r="H27" i="16" s="1"/>
  <c r="T26" i="16"/>
  <c r="M26" i="16"/>
  <c r="K42" i="15"/>
  <c r="L42" i="15" s="1"/>
  <c r="H42" i="15"/>
  <c r="J37" i="11"/>
  <c r="V14" i="17"/>
  <c r="H14" i="17"/>
  <c r="O14" i="17"/>
  <c r="V40" i="17"/>
  <c r="O40" i="17"/>
  <c r="H40" i="17"/>
  <c r="K36" i="15"/>
  <c r="L36" i="15" s="1"/>
  <c r="H36" i="15"/>
  <c r="T37" i="16"/>
  <c r="M37" i="16"/>
  <c r="H37" i="16"/>
  <c r="O26" i="17"/>
  <c r="H26" i="17"/>
  <c r="H27" i="17" s="1"/>
  <c r="V26" i="17"/>
  <c r="F64" i="11"/>
  <c r="J36" i="11"/>
  <c r="J65" i="17"/>
  <c r="J67" i="17" s="1"/>
  <c r="J84" i="17"/>
  <c r="J85" i="17" s="1"/>
  <c r="J86" i="17" s="1"/>
  <c r="H65" i="17"/>
  <c r="V36" i="17"/>
  <c r="O36" i="17"/>
  <c r="H36" i="17"/>
  <c r="V37" i="17"/>
  <c r="O37" i="17"/>
  <c r="H37" i="17"/>
  <c r="M13" i="16"/>
  <c r="H13" i="16"/>
  <c r="T13" i="16"/>
  <c r="M39" i="16"/>
  <c r="H39" i="16"/>
  <c r="T39" i="16"/>
  <c r="K19" i="15"/>
  <c r="L19" i="15" s="1"/>
  <c r="L22" i="15" s="1"/>
  <c r="H19" i="15"/>
  <c r="H22" i="15" s="1"/>
  <c r="K41" i="15"/>
  <c r="L41" i="15" s="1"/>
  <c r="H41" i="15"/>
  <c r="V42" i="17"/>
  <c r="H42" i="17"/>
  <c r="O42" i="17"/>
  <c r="L65" i="17"/>
  <c r="L67" i="17" s="1"/>
  <c r="L84" i="17"/>
  <c r="L85" i="17" s="1"/>
  <c r="V38" i="17"/>
  <c r="H38" i="17"/>
  <c r="O38" i="17"/>
  <c r="T42" i="16"/>
  <c r="M42" i="16"/>
  <c r="H42" i="16"/>
  <c r="H64" i="11"/>
  <c r="J63" i="13"/>
  <c r="J65" i="13" s="1"/>
  <c r="J68" i="13" s="1"/>
  <c r="N63" i="13"/>
  <c r="N65" i="13" s="1"/>
  <c r="N68" i="13" s="1"/>
  <c r="L63" i="16"/>
  <c r="L65" i="16" s="1"/>
  <c r="P65" i="17"/>
  <c r="M14" i="16"/>
  <c r="H14" i="16"/>
  <c r="T14" i="16"/>
  <c r="T40" i="16"/>
  <c r="M40" i="16"/>
  <c r="H40" i="16"/>
  <c r="K13" i="15"/>
  <c r="L13" i="15" s="1"/>
  <c r="H13" i="15"/>
  <c r="H17" i="15" s="1"/>
  <c r="H39" i="15"/>
  <c r="K39" i="15"/>
  <c r="L39" i="15" s="1"/>
  <c r="M19" i="16"/>
  <c r="T19" i="16"/>
  <c r="H19" i="16"/>
  <c r="H22" i="16" s="1"/>
  <c r="T41" i="16"/>
  <c r="H41" i="16"/>
  <c r="M41" i="16"/>
  <c r="H38" i="15"/>
  <c r="K38" i="15"/>
  <c r="L38" i="15" s="1"/>
  <c r="K26" i="15"/>
  <c r="L26" i="15" s="1"/>
  <c r="L27" i="15" s="1"/>
  <c r="H26" i="15"/>
  <c r="H27" i="15" s="1"/>
  <c r="H63" i="15"/>
  <c r="L63" i="15"/>
  <c r="H63" i="16"/>
  <c r="F63" i="13"/>
  <c r="F65" i="13" s="1"/>
  <c r="F66" i="13" s="1"/>
  <c r="L66" i="13" s="1"/>
  <c r="J65" i="15"/>
  <c r="J66" i="15" s="1"/>
  <c r="N54" i="11"/>
  <c r="N27" i="11"/>
  <c r="N22" i="11"/>
  <c r="N17" i="11"/>
  <c r="N50" i="11"/>
  <c r="J27" i="11"/>
  <c r="J54" i="11"/>
  <c r="J22" i="11"/>
  <c r="H54" i="11"/>
  <c r="H27" i="11"/>
  <c r="H22" i="11"/>
  <c r="H17" i="11"/>
  <c r="F27" i="11"/>
  <c r="H50" i="11"/>
  <c r="F50" i="11"/>
  <c r="N64" i="11"/>
  <c r="F68" i="13" l="1"/>
  <c r="L68" i="13" s="1"/>
  <c r="F67" i="13"/>
  <c r="L67" i="13" s="1"/>
  <c r="J50" i="11"/>
  <c r="H17" i="17"/>
  <c r="N69" i="17"/>
  <c r="N71" i="17" s="1"/>
  <c r="L17" i="15"/>
  <c r="O42" i="16"/>
  <c r="N42" i="16"/>
  <c r="O39" i="16"/>
  <c r="N39" i="16"/>
  <c r="J70" i="17"/>
  <c r="J68" i="17"/>
  <c r="J69" i="17"/>
  <c r="F84" i="17"/>
  <c r="O37" i="16"/>
  <c r="N37" i="16"/>
  <c r="H50" i="15"/>
  <c r="H65" i="15" s="1"/>
  <c r="Q40" i="17"/>
  <c r="P40" i="17"/>
  <c r="O26" i="16"/>
  <c r="N26" i="16"/>
  <c r="N27" i="16" s="1"/>
  <c r="Q39" i="17"/>
  <c r="P39" i="17"/>
  <c r="N66" i="13"/>
  <c r="O41" i="16"/>
  <c r="N41" i="16"/>
  <c r="N14" i="16"/>
  <c r="O14" i="16"/>
  <c r="O19" i="16"/>
  <c r="N19" i="16"/>
  <c r="N22" i="16" s="1"/>
  <c r="Q38" i="17"/>
  <c r="P38" i="17"/>
  <c r="Q42" i="17"/>
  <c r="P42" i="17"/>
  <c r="Q37" i="17"/>
  <c r="P37" i="17"/>
  <c r="H50" i="17"/>
  <c r="Q26" i="17"/>
  <c r="P26" i="17"/>
  <c r="P27" i="17" s="1"/>
  <c r="L50" i="15"/>
  <c r="L65" i="15" s="1"/>
  <c r="Q14" i="17"/>
  <c r="P14" i="17"/>
  <c r="O36" i="16"/>
  <c r="N36" i="16"/>
  <c r="N13" i="16"/>
  <c r="N17" i="16" s="1"/>
  <c r="O13" i="16"/>
  <c r="O40" i="16"/>
  <c r="N40" i="16"/>
  <c r="L69" i="17"/>
  <c r="L70" i="17"/>
  <c r="L86" i="17"/>
  <c r="L68" i="17"/>
  <c r="F66" i="11"/>
  <c r="J66" i="13"/>
  <c r="N67" i="13"/>
  <c r="N69" i="13" s="1"/>
  <c r="J75" i="13" s="1"/>
  <c r="J67" i="13"/>
  <c r="H17" i="16"/>
  <c r="Q36" i="17"/>
  <c r="P36" i="17"/>
  <c r="O38" i="16"/>
  <c r="N38" i="16"/>
  <c r="Q41" i="17"/>
  <c r="P41" i="17"/>
  <c r="P19" i="17"/>
  <c r="P22" i="17" s="1"/>
  <c r="Q19" i="17"/>
  <c r="P13" i="17"/>
  <c r="Q13" i="17"/>
  <c r="H50" i="16"/>
  <c r="L84" i="16"/>
  <c r="L85" i="16" s="1"/>
  <c r="L86" i="16" s="1"/>
  <c r="L67" i="16"/>
  <c r="L66" i="16"/>
  <c r="L68" i="16"/>
  <c r="J66" i="16"/>
  <c r="J67" i="16"/>
  <c r="J68" i="16"/>
  <c r="J84" i="16"/>
  <c r="J85" i="16" s="1"/>
  <c r="J86" i="16" s="1"/>
  <c r="L82" i="15"/>
  <c r="L83" i="15" s="1"/>
  <c r="J82" i="15"/>
  <c r="J83" i="15" s="1"/>
  <c r="J84" i="15" s="1"/>
  <c r="J67" i="15"/>
  <c r="J68" i="15"/>
  <c r="L69" i="13"/>
  <c r="L75" i="13" s="1"/>
  <c r="F69" i="13"/>
  <c r="F70" i="13" s="1"/>
  <c r="F69" i="11"/>
  <c r="F68" i="11"/>
  <c r="F67" i="11"/>
  <c r="N66" i="11"/>
  <c r="H66" i="11"/>
  <c r="H67" i="17" l="1"/>
  <c r="J71" i="17"/>
  <c r="J69" i="13"/>
  <c r="J77" i="13" s="1"/>
  <c r="L71" i="17"/>
  <c r="H65" i="16"/>
  <c r="H82" i="15"/>
  <c r="H83" i="15" s="1"/>
  <c r="H84" i="15" s="1"/>
  <c r="L67" i="15"/>
  <c r="L69" i="15" s="1"/>
  <c r="L71" i="15" s="1"/>
  <c r="L72" i="15" s="1"/>
  <c r="L66" i="15"/>
  <c r="L68" i="15"/>
  <c r="H68" i="17"/>
  <c r="Q68" i="17" s="1"/>
  <c r="Q67" i="17"/>
  <c r="H69" i="17"/>
  <c r="Q69" i="17" s="1"/>
  <c r="H70" i="17"/>
  <c r="Q70" i="17" s="1"/>
  <c r="H66" i="16"/>
  <c r="O66" i="16" s="1"/>
  <c r="H67" i="16"/>
  <c r="H69" i="16" s="1"/>
  <c r="H71" i="16" s="1"/>
  <c r="H68" i="16"/>
  <c r="O68" i="16" s="1"/>
  <c r="O65" i="16"/>
  <c r="H66" i="15"/>
  <c r="H68" i="15"/>
  <c r="H67" i="15"/>
  <c r="F70" i="11"/>
  <c r="I5" i="11" s="1"/>
  <c r="N50" i="16"/>
  <c r="N84" i="16" s="1"/>
  <c r="N85" i="16" s="1"/>
  <c r="L84" i="15"/>
  <c r="P17" i="17"/>
  <c r="P50" i="17"/>
  <c r="L69" i="16"/>
  <c r="J69" i="16"/>
  <c r="J69" i="15"/>
  <c r="I5" i="13"/>
  <c r="I7" i="13" s="1"/>
  <c r="J71" i="13"/>
  <c r="J72" i="13" s="1"/>
  <c r="M6" i="13"/>
  <c r="N71" i="13"/>
  <c r="N73" i="13" s="1"/>
  <c r="H69" i="11"/>
  <c r="H68" i="11"/>
  <c r="H67" i="11"/>
  <c r="N69" i="11"/>
  <c r="N68" i="11"/>
  <c r="N67" i="11"/>
  <c r="O67" i="16" l="1"/>
  <c r="P84" i="17"/>
  <c r="P85" i="17" s="1"/>
  <c r="H69" i="15"/>
  <c r="H71" i="15" s="1"/>
  <c r="H72" i="15" s="1"/>
  <c r="H73" i="16"/>
  <c r="O73" i="16" s="1"/>
  <c r="H72" i="16"/>
  <c r="O72" i="16" s="1"/>
  <c r="N65" i="16"/>
  <c r="N66" i="16" s="1"/>
  <c r="F71" i="11"/>
  <c r="O69" i="16"/>
  <c r="N86" i="16"/>
  <c r="O71" i="16"/>
  <c r="N67" i="16"/>
  <c r="P67" i="16" s="1"/>
  <c r="N68" i="16"/>
  <c r="P68" i="16" s="1"/>
  <c r="I7" i="11"/>
  <c r="O5" i="11"/>
  <c r="H71" i="17"/>
  <c r="P67" i="17"/>
  <c r="R67" i="17"/>
  <c r="L75" i="16"/>
  <c r="K6" i="15"/>
  <c r="O5" i="13"/>
  <c r="H73" i="15"/>
  <c r="L73" i="15"/>
  <c r="J73" i="13"/>
  <c r="N72" i="13"/>
  <c r="N70" i="11"/>
  <c r="N72" i="11" s="1"/>
  <c r="H70" i="11"/>
  <c r="N69" i="16" l="1"/>
  <c r="M6" i="16" s="1"/>
  <c r="N73" i="11"/>
  <c r="P65" i="16"/>
  <c r="P69" i="17"/>
  <c r="R69" i="17" s="1"/>
  <c r="P68" i="17"/>
  <c r="R68" i="17" s="1"/>
  <c r="P70" i="17"/>
  <c r="R70" i="17" s="1"/>
  <c r="H73" i="17"/>
  <c r="Q71" i="17"/>
  <c r="P69" i="16"/>
  <c r="N71" i="16"/>
  <c r="N73" i="16" s="1"/>
  <c r="P73" i="16" s="1"/>
  <c r="P66" i="16"/>
  <c r="P86" i="17"/>
  <c r="N74" i="11"/>
  <c r="M6" i="11"/>
  <c r="P71" i="16" l="1"/>
  <c r="N72" i="16"/>
  <c r="P72" i="16" s="1"/>
  <c r="P71" i="17"/>
  <c r="H75" i="17"/>
  <c r="Q75" i="17" s="1"/>
  <c r="H74" i="17"/>
  <c r="Q74" i="17" s="1"/>
  <c r="Q73" i="17"/>
  <c r="J7" i="10"/>
  <c r="J8" i="10"/>
  <c r="J9" i="10"/>
  <c r="J10" i="10"/>
  <c r="J11" i="10"/>
  <c r="J12" i="10"/>
  <c r="J13" i="10"/>
  <c r="J14" i="10"/>
  <c r="J15" i="10"/>
  <c r="J16" i="10"/>
  <c r="J17" i="10"/>
  <c r="J18" i="10"/>
  <c r="J19" i="10"/>
  <c r="J20" i="10"/>
  <c r="J21" i="10"/>
  <c r="J22" i="10"/>
  <c r="J23" i="10"/>
  <c r="J24" i="10"/>
  <c r="J25" i="10"/>
  <c r="J26" i="10"/>
  <c r="J27" i="10"/>
  <c r="J28" i="10"/>
  <c r="J29" i="10"/>
  <c r="J30" i="10"/>
  <c r="J31" i="10"/>
  <c r="J32" i="10"/>
  <c r="J33" i="10"/>
  <c r="J34" i="10"/>
  <c r="J35" i="10"/>
  <c r="J36" i="10"/>
  <c r="J37" i="10"/>
  <c r="J38" i="10"/>
  <c r="J39" i="10"/>
  <c r="J40" i="10"/>
  <c r="J41" i="10"/>
  <c r="J42" i="10"/>
  <c r="J43" i="10"/>
  <c r="J44" i="10"/>
  <c r="J45" i="10"/>
  <c r="J46" i="10"/>
  <c r="J6" i="10"/>
  <c r="P73" i="17" l="1"/>
  <c r="R73" i="17" s="1"/>
  <c r="R71" i="17"/>
  <c r="O6" i="17"/>
  <c r="I19" i="10"/>
  <c r="L19" i="10"/>
  <c r="L14" i="10"/>
  <c r="I7" i="10"/>
  <c r="L7" i="10"/>
  <c r="L6" i="10"/>
  <c r="I46" i="10"/>
  <c r="I45" i="10"/>
  <c r="I42" i="10"/>
  <c r="I41" i="10"/>
  <c r="I40" i="10"/>
  <c r="I39" i="10"/>
  <c r="I38" i="10"/>
  <c r="I37" i="10"/>
  <c r="I36" i="10"/>
  <c r="I35" i="10"/>
  <c r="I34" i="10"/>
  <c r="I33" i="10"/>
  <c r="I32" i="10"/>
  <c r="I31" i="10"/>
  <c r="I30" i="10"/>
  <c r="I29" i="10"/>
  <c r="I28" i="10"/>
  <c r="I27" i="10"/>
  <c r="I26" i="10"/>
  <c r="I25" i="10"/>
  <c r="I24" i="10"/>
  <c r="I23" i="10"/>
  <c r="I22" i="10"/>
  <c r="I18" i="10"/>
  <c r="I17" i="10"/>
  <c r="I14" i="10"/>
  <c r="I13" i="10"/>
  <c r="I12" i="10"/>
  <c r="I9" i="10"/>
  <c r="I8" i="10"/>
  <c r="I6" i="10"/>
  <c r="P75" i="17" l="1"/>
  <c r="R75" i="17" s="1"/>
  <c r="P74" i="17"/>
  <c r="R74" i="17" s="1"/>
  <c r="I47" i="10"/>
  <c r="I20" i="10"/>
  <c r="I10" i="10"/>
  <c r="I15" i="10"/>
  <c r="I43" i="10"/>
  <c r="J48" i="10" l="1"/>
  <c r="J49" i="10" s="1"/>
  <c r="I48" i="10"/>
  <c r="I50" i="10" s="1"/>
  <c r="I51" i="10" l="1"/>
  <c r="I49" i="10"/>
  <c r="D311" i="3"/>
  <c r="J1107" i="14" s="1"/>
  <c r="L1107" i="14" s="1"/>
  <c r="L1108" i="14" s="1"/>
  <c r="K1124" i="14" s="1"/>
  <c r="D310" i="3"/>
  <c r="J1070" i="14" s="1"/>
  <c r="L1070" i="14" s="1"/>
  <c r="L1071" i="14" s="1"/>
  <c r="K1087" i="14" s="1"/>
  <c r="D309" i="3"/>
  <c r="J1033" i="14" s="1"/>
  <c r="L1033" i="14" s="1"/>
  <c r="L1034" i="14" s="1"/>
  <c r="K1050" i="14" s="1"/>
  <c r="D294" i="3"/>
  <c r="D293" i="3"/>
  <c r="D292" i="3"/>
  <c r="K1104" i="2"/>
  <c r="L1104" i="2" s="1"/>
  <c r="I1104" i="2"/>
  <c r="D1104" i="2"/>
  <c r="K1067" i="2"/>
  <c r="L1067" i="2" s="1"/>
  <c r="I1067" i="2"/>
  <c r="D1067" i="2"/>
  <c r="K1030" i="2"/>
  <c r="L1030" i="2" s="1"/>
  <c r="I1030" i="2"/>
  <c r="D1030" i="2"/>
  <c r="K587" i="2"/>
  <c r="L587" i="2" s="1"/>
  <c r="I587" i="2"/>
  <c r="D587" i="2"/>
  <c r="K551" i="2"/>
  <c r="L551" i="2" s="1"/>
  <c r="I551" i="2"/>
  <c r="D551" i="2"/>
  <c r="K515" i="2"/>
  <c r="L515" i="2" s="1"/>
  <c r="I515" i="2"/>
  <c r="D515" i="2"/>
  <c r="I52" i="10" l="1"/>
  <c r="I55" i="10" s="1"/>
  <c r="L1171" i="2"/>
  <c r="E1171" i="2"/>
  <c r="D1171" i="2"/>
  <c r="L1198" i="2"/>
  <c r="L1191" i="2"/>
  <c r="L1182" i="2"/>
  <c r="L1184" i="2" s="1"/>
  <c r="H1182" i="2"/>
  <c r="E1170" i="2"/>
  <c r="D1170" i="2"/>
  <c r="C1169" i="2"/>
  <c r="J1147" i="2"/>
  <c r="L1147" i="2" s="1"/>
  <c r="L1149" i="2" s="1"/>
  <c r="H1147" i="2"/>
  <c r="D1147" i="2"/>
  <c r="L1136" i="2"/>
  <c r="E1136" i="2"/>
  <c r="D1136" i="2"/>
  <c r="E1135" i="2"/>
  <c r="D1135" i="2"/>
  <c r="H1160" i="2"/>
  <c r="J1160" i="2" s="1"/>
  <c r="L1160" i="2" s="1"/>
  <c r="F1160" i="2"/>
  <c r="D1160" i="2"/>
  <c r="L1156" i="2"/>
  <c r="C1134" i="2"/>
  <c r="J1113" i="2"/>
  <c r="L1113" i="2" s="1"/>
  <c r="H1113" i="2"/>
  <c r="D1113" i="2"/>
  <c r="L1099" i="2"/>
  <c r="E1099" i="2"/>
  <c r="D1099" i="2"/>
  <c r="K1126" i="2"/>
  <c r="H1126" i="2"/>
  <c r="J1126" i="2" s="1"/>
  <c r="F1126" i="2"/>
  <c r="D1126" i="2"/>
  <c r="H1125" i="2"/>
  <c r="J1125" i="2" s="1"/>
  <c r="L1125" i="2" s="1"/>
  <c r="F1125" i="2"/>
  <c r="D1125" i="2"/>
  <c r="L1121" i="2"/>
  <c r="J1112" i="2"/>
  <c r="L1112" i="2" s="1"/>
  <c r="H1112" i="2"/>
  <c r="D1112" i="2"/>
  <c r="J1111" i="2"/>
  <c r="L1111" i="2" s="1"/>
  <c r="H1111" i="2"/>
  <c r="D1111" i="2"/>
  <c r="J1110" i="2"/>
  <c r="L1110" i="2" s="1"/>
  <c r="H1110" i="2"/>
  <c r="D1110" i="2"/>
  <c r="E1098" i="2"/>
  <c r="D1098" i="2"/>
  <c r="C1097" i="2"/>
  <c r="J1076" i="2"/>
  <c r="L1076" i="2" s="1"/>
  <c r="H1076" i="2"/>
  <c r="D1076" i="2"/>
  <c r="L1062" i="2"/>
  <c r="E1062" i="2"/>
  <c r="D1062" i="2"/>
  <c r="K1089" i="2"/>
  <c r="H1089" i="2"/>
  <c r="J1089" i="2" s="1"/>
  <c r="F1089" i="2"/>
  <c r="D1089" i="2"/>
  <c r="H1088" i="2"/>
  <c r="J1088" i="2" s="1"/>
  <c r="L1088" i="2" s="1"/>
  <c r="F1088" i="2"/>
  <c r="D1088" i="2"/>
  <c r="L1084" i="2"/>
  <c r="J1075" i="2"/>
  <c r="L1075" i="2" s="1"/>
  <c r="H1075" i="2"/>
  <c r="D1075" i="2"/>
  <c r="J1074" i="2"/>
  <c r="L1074" i="2" s="1"/>
  <c r="H1074" i="2"/>
  <c r="D1074" i="2"/>
  <c r="J1073" i="2"/>
  <c r="L1073" i="2" s="1"/>
  <c r="H1073" i="2"/>
  <c r="D1073" i="2"/>
  <c r="E1061" i="2"/>
  <c r="D1061" i="2"/>
  <c r="C1060" i="2"/>
  <c r="J1039" i="2"/>
  <c r="L1039" i="2" s="1"/>
  <c r="H1039" i="2"/>
  <c r="D1039" i="2"/>
  <c r="L1025" i="2"/>
  <c r="E1025" i="2"/>
  <c r="D1025" i="2"/>
  <c r="K1052" i="2"/>
  <c r="H1052" i="2"/>
  <c r="J1052" i="2" s="1"/>
  <c r="F1052" i="2"/>
  <c r="D1052" i="2"/>
  <c r="H1051" i="2"/>
  <c r="J1051" i="2" s="1"/>
  <c r="L1051" i="2" s="1"/>
  <c r="F1051" i="2"/>
  <c r="D1051" i="2"/>
  <c r="L1047" i="2"/>
  <c r="J1038" i="2"/>
  <c r="L1038" i="2" s="1"/>
  <c r="H1038" i="2"/>
  <c r="D1038" i="2"/>
  <c r="J1037" i="2"/>
  <c r="L1037" i="2" s="1"/>
  <c r="H1037" i="2"/>
  <c r="D1037" i="2"/>
  <c r="J1036" i="2"/>
  <c r="L1036" i="2" s="1"/>
  <c r="H1036" i="2"/>
  <c r="D1036" i="2"/>
  <c r="E1024" i="2"/>
  <c r="D1024" i="2"/>
  <c r="C1023" i="2"/>
  <c r="J1002" i="2"/>
  <c r="L1002" i="2" s="1"/>
  <c r="H1002" i="2"/>
  <c r="D1002" i="2"/>
  <c r="L988" i="2"/>
  <c r="E988" i="2"/>
  <c r="D988" i="2"/>
  <c r="K1015" i="2"/>
  <c r="H1015" i="2"/>
  <c r="J1015" i="2" s="1"/>
  <c r="F1015" i="2"/>
  <c r="D1015" i="2"/>
  <c r="H1014" i="2"/>
  <c r="J1014" i="2" s="1"/>
  <c r="L1014" i="2" s="1"/>
  <c r="F1014" i="2"/>
  <c r="D1014" i="2"/>
  <c r="L1010" i="2"/>
  <c r="J1001" i="2"/>
  <c r="L1001" i="2" s="1"/>
  <c r="H1001" i="2"/>
  <c r="D1001" i="2"/>
  <c r="J1000" i="2"/>
  <c r="L1000" i="2" s="1"/>
  <c r="H1000" i="2"/>
  <c r="D1000" i="2"/>
  <c r="J999" i="2"/>
  <c r="L999" i="2" s="1"/>
  <c r="H999" i="2"/>
  <c r="D999" i="2"/>
  <c r="E987" i="2"/>
  <c r="D987" i="2"/>
  <c r="C986" i="2"/>
  <c r="J965" i="2"/>
  <c r="L965" i="2" s="1"/>
  <c r="H965" i="2"/>
  <c r="D965" i="2"/>
  <c r="L951" i="2"/>
  <c r="E951" i="2"/>
  <c r="D951" i="2"/>
  <c r="K978" i="2"/>
  <c r="H978" i="2"/>
  <c r="J978" i="2" s="1"/>
  <c r="F978" i="2"/>
  <c r="D978" i="2"/>
  <c r="H977" i="2"/>
  <c r="J977" i="2" s="1"/>
  <c r="L977" i="2" s="1"/>
  <c r="F977" i="2"/>
  <c r="D977" i="2"/>
  <c r="L973" i="2"/>
  <c r="J964" i="2"/>
  <c r="L964" i="2" s="1"/>
  <c r="H964" i="2"/>
  <c r="D964" i="2"/>
  <c r="J963" i="2"/>
  <c r="L963" i="2" s="1"/>
  <c r="H963" i="2"/>
  <c r="D963" i="2"/>
  <c r="J962" i="2"/>
  <c r="L962" i="2" s="1"/>
  <c r="H962" i="2"/>
  <c r="D962" i="2"/>
  <c r="E950" i="2"/>
  <c r="D950" i="2"/>
  <c r="C949" i="2"/>
  <c r="J928" i="2"/>
  <c r="L928" i="2" s="1"/>
  <c r="H928" i="2"/>
  <c r="D928" i="2"/>
  <c r="K941" i="2"/>
  <c r="L914" i="2"/>
  <c r="E914" i="2"/>
  <c r="D914" i="2"/>
  <c r="H941" i="2"/>
  <c r="J941" i="2" s="1"/>
  <c r="F941" i="2"/>
  <c r="D941" i="2"/>
  <c r="H940" i="2"/>
  <c r="J940" i="2" s="1"/>
  <c r="L940" i="2" s="1"/>
  <c r="F940" i="2"/>
  <c r="D940" i="2"/>
  <c r="L936" i="2"/>
  <c r="J927" i="2"/>
  <c r="L927" i="2" s="1"/>
  <c r="H927" i="2"/>
  <c r="D927" i="2"/>
  <c r="J926" i="2"/>
  <c r="L926" i="2" s="1"/>
  <c r="H926" i="2"/>
  <c r="D926" i="2"/>
  <c r="J925" i="2"/>
  <c r="L925" i="2" s="1"/>
  <c r="H925" i="2"/>
  <c r="D925" i="2"/>
  <c r="E913" i="2"/>
  <c r="D913" i="2"/>
  <c r="C912" i="2"/>
  <c r="K904" i="2"/>
  <c r="J891" i="2"/>
  <c r="L891" i="2" s="1"/>
  <c r="H891" i="2"/>
  <c r="D891" i="2"/>
  <c r="H904" i="2"/>
  <c r="J904" i="2" s="1"/>
  <c r="H903" i="2"/>
  <c r="J903" i="2" s="1"/>
  <c r="L903" i="2" s="1"/>
  <c r="F904" i="2"/>
  <c r="D904" i="2"/>
  <c r="L877" i="2"/>
  <c r="E877" i="2"/>
  <c r="D877" i="2"/>
  <c r="F903" i="2"/>
  <c r="D903" i="2"/>
  <c r="L899" i="2"/>
  <c r="J890" i="2"/>
  <c r="L890" i="2" s="1"/>
  <c r="H890" i="2"/>
  <c r="D890" i="2"/>
  <c r="J889" i="2"/>
  <c r="L889" i="2" s="1"/>
  <c r="H889" i="2"/>
  <c r="D889" i="2"/>
  <c r="J888" i="2"/>
  <c r="L888" i="2" s="1"/>
  <c r="H888" i="2"/>
  <c r="D888" i="2"/>
  <c r="E876" i="2"/>
  <c r="D876" i="2"/>
  <c r="C875" i="2"/>
  <c r="J854" i="2"/>
  <c r="L854" i="2" s="1"/>
  <c r="H854" i="2"/>
  <c r="D854" i="2"/>
  <c r="L840" i="2"/>
  <c r="E840" i="2"/>
  <c r="D840" i="2"/>
  <c r="H866" i="2"/>
  <c r="J866" i="2" s="1"/>
  <c r="L866" i="2" s="1"/>
  <c r="L869" i="2" s="1"/>
  <c r="F866" i="2"/>
  <c r="D866" i="2"/>
  <c r="L862" i="2"/>
  <c r="J853" i="2"/>
  <c r="L853" i="2" s="1"/>
  <c r="H853" i="2"/>
  <c r="D853" i="2"/>
  <c r="J852" i="2"/>
  <c r="L852" i="2" s="1"/>
  <c r="H852" i="2"/>
  <c r="D852" i="2"/>
  <c r="J851" i="2"/>
  <c r="L851" i="2" s="1"/>
  <c r="H851" i="2"/>
  <c r="D851" i="2"/>
  <c r="E839" i="2"/>
  <c r="D839" i="2"/>
  <c r="C838" i="2"/>
  <c r="J817" i="2"/>
  <c r="L817" i="2" s="1"/>
  <c r="H817" i="2"/>
  <c r="D817" i="2"/>
  <c r="L803" i="2"/>
  <c r="E803" i="2"/>
  <c r="D803" i="2"/>
  <c r="H829" i="2"/>
  <c r="J829" i="2" s="1"/>
  <c r="L829" i="2" s="1"/>
  <c r="L832" i="2" s="1"/>
  <c r="F829" i="2"/>
  <c r="D829" i="2"/>
  <c r="L825" i="2"/>
  <c r="J816" i="2"/>
  <c r="L816" i="2" s="1"/>
  <c r="H816" i="2"/>
  <c r="D816" i="2"/>
  <c r="J815" i="2"/>
  <c r="L815" i="2" s="1"/>
  <c r="H815" i="2"/>
  <c r="D815" i="2"/>
  <c r="J814" i="2"/>
  <c r="L814" i="2" s="1"/>
  <c r="H814" i="2"/>
  <c r="D814" i="2"/>
  <c r="E802" i="2"/>
  <c r="D802" i="2"/>
  <c r="C801" i="2"/>
  <c r="J780" i="2"/>
  <c r="L780" i="2" s="1"/>
  <c r="H780" i="2"/>
  <c r="D780" i="2"/>
  <c r="L766" i="2"/>
  <c r="E766" i="2"/>
  <c r="D766" i="2"/>
  <c r="H792" i="2"/>
  <c r="J792" i="2" s="1"/>
  <c r="L792" i="2" s="1"/>
  <c r="L795" i="2" s="1"/>
  <c r="F792" i="2"/>
  <c r="D792" i="2"/>
  <c r="L788" i="2"/>
  <c r="J779" i="2"/>
  <c r="L779" i="2" s="1"/>
  <c r="H779" i="2"/>
  <c r="D779" i="2"/>
  <c r="J778" i="2"/>
  <c r="L778" i="2" s="1"/>
  <c r="H778" i="2"/>
  <c r="D778" i="2"/>
  <c r="J777" i="2"/>
  <c r="L777" i="2" s="1"/>
  <c r="H777" i="2"/>
  <c r="D777" i="2"/>
  <c r="E765" i="2"/>
  <c r="D765" i="2"/>
  <c r="C764" i="2"/>
  <c r="J743" i="2"/>
  <c r="L743" i="2" s="1"/>
  <c r="H743" i="2"/>
  <c r="D743" i="2"/>
  <c r="L729" i="2"/>
  <c r="E729" i="2"/>
  <c r="D729" i="2"/>
  <c r="H755" i="2"/>
  <c r="J755" i="2" s="1"/>
  <c r="L755" i="2" s="1"/>
  <c r="L758" i="2" s="1"/>
  <c r="F755" i="2"/>
  <c r="D755" i="2"/>
  <c r="L751" i="2"/>
  <c r="J742" i="2"/>
  <c r="L742" i="2" s="1"/>
  <c r="H742" i="2"/>
  <c r="D742" i="2"/>
  <c r="J741" i="2"/>
  <c r="L741" i="2" s="1"/>
  <c r="H741" i="2"/>
  <c r="D741" i="2"/>
  <c r="J740" i="2"/>
  <c r="L740" i="2" s="1"/>
  <c r="H740" i="2"/>
  <c r="D740" i="2"/>
  <c r="E728" i="2"/>
  <c r="D728" i="2"/>
  <c r="C727" i="2"/>
  <c r="J706" i="2"/>
  <c r="L706" i="2" s="1"/>
  <c r="H706" i="2"/>
  <c r="D706" i="2"/>
  <c r="L692" i="2"/>
  <c r="E692" i="2"/>
  <c r="D692" i="2"/>
  <c r="H718" i="2"/>
  <c r="J718" i="2" s="1"/>
  <c r="L718" i="2" s="1"/>
  <c r="L721" i="2" s="1"/>
  <c r="F718" i="2"/>
  <c r="D718" i="2"/>
  <c r="L714" i="2"/>
  <c r="J705" i="2"/>
  <c r="L705" i="2" s="1"/>
  <c r="H705" i="2"/>
  <c r="D705" i="2"/>
  <c r="J704" i="2"/>
  <c r="L704" i="2" s="1"/>
  <c r="H704" i="2"/>
  <c r="D704" i="2"/>
  <c r="J703" i="2"/>
  <c r="L703" i="2" s="1"/>
  <c r="H703" i="2"/>
  <c r="D703" i="2"/>
  <c r="E691" i="2"/>
  <c r="D691" i="2"/>
  <c r="C690" i="2"/>
  <c r="J669" i="2"/>
  <c r="L669" i="2" s="1"/>
  <c r="H669" i="2"/>
  <c r="D669" i="2"/>
  <c r="L655" i="2"/>
  <c r="E655" i="2"/>
  <c r="D655" i="2"/>
  <c r="H681" i="2"/>
  <c r="J681" i="2" s="1"/>
  <c r="L681" i="2" s="1"/>
  <c r="L684" i="2" s="1"/>
  <c r="F681" i="2"/>
  <c r="D681" i="2"/>
  <c r="L677" i="2"/>
  <c r="J668" i="2"/>
  <c r="L668" i="2" s="1"/>
  <c r="H668" i="2"/>
  <c r="D668" i="2"/>
  <c r="J667" i="2"/>
  <c r="L667" i="2" s="1"/>
  <c r="H667" i="2"/>
  <c r="D667" i="2"/>
  <c r="J666" i="2"/>
  <c r="L666" i="2" s="1"/>
  <c r="H666" i="2"/>
  <c r="D666" i="2"/>
  <c r="E654" i="2"/>
  <c r="D654" i="2"/>
  <c r="C653" i="2"/>
  <c r="J631" i="2"/>
  <c r="L631" i="2" s="1"/>
  <c r="J630" i="2"/>
  <c r="L630" i="2" s="1"/>
  <c r="J629" i="2"/>
  <c r="L629" i="2" s="1"/>
  <c r="H631" i="2"/>
  <c r="H630" i="2"/>
  <c r="H629" i="2"/>
  <c r="D631" i="2"/>
  <c r="D630" i="2"/>
  <c r="D629" i="2"/>
  <c r="J632" i="2"/>
  <c r="L632" i="2" s="1"/>
  <c r="H632" i="2"/>
  <c r="D632" i="2"/>
  <c r="L618" i="2"/>
  <c r="E618" i="2"/>
  <c r="D618" i="2"/>
  <c r="H644" i="2"/>
  <c r="J644" i="2" s="1"/>
  <c r="L644" i="2" s="1"/>
  <c r="L647" i="2" s="1"/>
  <c r="F644" i="2"/>
  <c r="D644" i="2"/>
  <c r="L640" i="2"/>
  <c r="E617" i="2"/>
  <c r="D617" i="2"/>
  <c r="C616" i="2"/>
  <c r="L1015" i="2" l="1"/>
  <c r="L1017" i="2" s="1"/>
  <c r="L1052" i="2"/>
  <c r="L1054" i="2" s="1"/>
  <c r="L978" i="2"/>
  <c r="L980" i="2" s="1"/>
  <c r="L1089" i="2"/>
  <c r="L904" i="2"/>
  <c r="L906" i="2" s="1"/>
  <c r="K1177" i="2"/>
  <c r="L1177" i="2" s="1"/>
  <c r="L1178" i="2" s="1"/>
  <c r="K1200" i="2" s="1"/>
  <c r="L1003" i="2"/>
  <c r="L1091" i="2"/>
  <c r="L966" i="2"/>
  <c r="L1163" i="2"/>
  <c r="L1126" i="2"/>
  <c r="L1128" i="2" s="1"/>
  <c r="L1114" i="2"/>
  <c r="L1077" i="2"/>
  <c r="L1040" i="2"/>
  <c r="L941" i="2"/>
  <c r="L943" i="2" s="1"/>
  <c r="L929" i="2"/>
  <c r="L892" i="2"/>
  <c r="L855" i="2"/>
  <c r="K846" i="2"/>
  <c r="L846" i="2" s="1"/>
  <c r="L847" i="2" s="1"/>
  <c r="O863" i="2" s="1"/>
  <c r="K809" i="2"/>
  <c r="L809" i="2" s="1"/>
  <c r="L810" i="2" s="1"/>
  <c r="O826" i="2" s="1"/>
  <c r="L818" i="2"/>
  <c r="K772" i="2"/>
  <c r="L772" i="2" s="1"/>
  <c r="L773" i="2" s="1"/>
  <c r="O789" i="2" s="1"/>
  <c r="L781" i="2"/>
  <c r="L744" i="2"/>
  <c r="K735" i="2"/>
  <c r="L735" i="2" s="1"/>
  <c r="L736" i="2" s="1"/>
  <c r="O752" i="2" s="1"/>
  <c r="L707" i="2"/>
  <c r="K698" i="2"/>
  <c r="L698" i="2" s="1"/>
  <c r="L699" i="2" s="1"/>
  <c r="L670" i="2"/>
  <c r="K661" i="2"/>
  <c r="L661" i="2" s="1"/>
  <c r="L662" i="2" s="1"/>
  <c r="L633" i="2"/>
  <c r="K624" i="2"/>
  <c r="L624" i="2" s="1"/>
  <c r="L625" i="2" s="1"/>
  <c r="O638" i="2" s="1"/>
  <c r="E46" i="10" l="1"/>
  <c r="F46" i="10" s="1"/>
  <c r="E45" i="9"/>
  <c r="K686" i="2"/>
  <c r="O1192" i="2"/>
  <c r="K1105" i="2"/>
  <c r="L1105" i="2" s="1"/>
  <c r="L1106" i="2" s="1"/>
  <c r="O1122" i="2" s="1"/>
  <c r="K883" i="2"/>
  <c r="L883" i="2" s="1"/>
  <c r="L884" i="2" s="1"/>
  <c r="O900" i="2" s="1"/>
  <c r="K1068" i="2"/>
  <c r="L1068" i="2" s="1"/>
  <c r="L1069" i="2" s="1"/>
  <c r="O1085" i="2" s="1"/>
  <c r="O678" i="2"/>
  <c r="K834" i="2"/>
  <c r="K723" i="2"/>
  <c r="O715" i="2"/>
  <c r="K1142" i="2"/>
  <c r="L1142" i="2" s="1"/>
  <c r="L1143" i="2" s="1"/>
  <c r="K1165" i="2" s="1"/>
  <c r="K1031" i="2"/>
  <c r="L1031" i="2" s="1"/>
  <c r="L1032" i="2" s="1"/>
  <c r="K1056" i="2" s="1"/>
  <c r="K994" i="2"/>
  <c r="L994" i="2" s="1"/>
  <c r="L995" i="2" s="1"/>
  <c r="K1019" i="2" s="1"/>
  <c r="K957" i="2"/>
  <c r="L957" i="2" s="1"/>
  <c r="L958" i="2" s="1"/>
  <c r="K982" i="2" s="1"/>
  <c r="K920" i="2"/>
  <c r="L920" i="2" s="1"/>
  <c r="L921" i="2" s="1"/>
  <c r="K945" i="2" s="1"/>
  <c r="K871" i="2"/>
  <c r="K797" i="2"/>
  <c r="K760" i="2"/>
  <c r="K649" i="2"/>
  <c r="E29" i="10" l="1"/>
  <c r="F29" i="10" s="1"/>
  <c r="E28" i="9"/>
  <c r="E37" i="10"/>
  <c r="F37" i="10" s="1"/>
  <c r="E36" i="9"/>
  <c r="E45" i="10"/>
  <c r="F45" i="10" s="1"/>
  <c r="F47" i="10" s="1"/>
  <c r="E44" i="9"/>
  <c r="E30" i="10"/>
  <c r="F30" i="10" s="1"/>
  <c r="E29" i="9"/>
  <c r="E38" i="10"/>
  <c r="F38" i="10" s="1"/>
  <c r="E37" i="9"/>
  <c r="E33" i="10"/>
  <c r="F33" i="10" s="1"/>
  <c r="E32" i="9"/>
  <c r="E39" i="10"/>
  <c r="F39" i="10" s="1"/>
  <c r="E38" i="9"/>
  <c r="E31" i="10"/>
  <c r="F31" i="10" s="1"/>
  <c r="E30" i="9"/>
  <c r="E32" i="10"/>
  <c r="F32" i="10" s="1"/>
  <c r="E31" i="9"/>
  <c r="E35" i="10"/>
  <c r="F35" i="10" s="1"/>
  <c r="E34" i="9"/>
  <c r="E39" i="9"/>
  <c r="E40" i="10"/>
  <c r="F40" i="10" s="1"/>
  <c r="E34" i="10"/>
  <c r="F34" i="10" s="1"/>
  <c r="E33" i="9"/>
  <c r="O937" i="2"/>
  <c r="O974" i="2"/>
  <c r="K1093" i="2"/>
  <c r="K908" i="2"/>
  <c r="O1011" i="2"/>
  <c r="O1157" i="2"/>
  <c r="K1130" i="2"/>
  <c r="O1048" i="2"/>
  <c r="E36" i="10" l="1"/>
  <c r="F36" i="10" s="1"/>
  <c r="E35" i="9"/>
  <c r="E40" i="9"/>
  <c r="E41" i="10"/>
  <c r="F41" i="10" s="1"/>
  <c r="E41" i="9"/>
  <c r="E42" i="10"/>
  <c r="F42" i="10" s="1"/>
  <c r="J593" i="2"/>
  <c r="L593" i="2" s="1"/>
  <c r="L596" i="2" s="1"/>
  <c r="H593" i="2"/>
  <c r="D593" i="2"/>
  <c r="C593" i="2"/>
  <c r="L582" i="2"/>
  <c r="E582" i="2"/>
  <c r="D582" i="2"/>
  <c r="H608" i="2"/>
  <c r="J608" i="2" s="1"/>
  <c r="L608" i="2" s="1"/>
  <c r="F608" i="2"/>
  <c r="D608" i="2"/>
  <c r="H607" i="2"/>
  <c r="J607" i="2" s="1"/>
  <c r="L607" i="2" s="1"/>
  <c r="F607" i="2"/>
  <c r="D607" i="2"/>
  <c r="L603" i="2"/>
  <c r="E581" i="2"/>
  <c r="D581" i="2"/>
  <c r="C580" i="2"/>
  <c r="J557" i="2"/>
  <c r="L557" i="2" s="1"/>
  <c r="L560" i="2" s="1"/>
  <c r="H557" i="2"/>
  <c r="D557" i="2"/>
  <c r="C557" i="2"/>
  <c r="L546" i="2"/>
  <c r="E546" i="2"/>
  <c r="D546" i="2"/>
  <c r="H572" i="2"/>
  <c r="J572" i="2" s="1"/>
  <c r="L572" i="2" s="1"/>
  <c r="F572" i="2"/>
  <c r="D572" i="2"/>
  <c r="H571" i="2"/>
  <c r="J571" i="2" s="1"/>
  <c r="L571" i="2" s="1"/>
  <c r="F571" i="2"/>
  <c r="D571" i="2"/>
  <c r="L567" i="2"/>
  <c r="E545" i="2"/>
  <c r="D545" i="2"/>
  <c r="C544" i="2"/>
  <c r="J521" i="2"/>
  <c r="L521" i="2" s="1"/>
  <c r="L524" i="2" s="1"/>
  <c r="H521" i="2"/>
  <c r="C521" i="2"/>
  <c r="D521" i="2"/>
  <c r="L510" i="2"/>
  <c r="E510" i="2"/>
  <c r="D510" i="2"/>
  <c r="H536" i="2"/>
  <c r="J536" i="2" s="1"/>
  <c r="L536" i="2" s="1"/>
  <c r="F536" i="2"/>
  <c r="D536" i="2"/>
  <c r="H535" i="2"/>
  <c r="J535" i="2" s="1"/>
  <c r="L535" i="2" s="1"/>
  <c r="F535" i="2"/>
  <c r="D535" i="2"/>
  <c r="L531" i="2"/>
  <c r="E509" i="2"/>
  <c r="D509" i="2"/>
  <c r="C508" i="2"/>
  <c r="J485" i="2"/>
  <c r="L485" i="2" s="1"/>
  <c r="L488" i="2" s="1"/>
  <c r="H485" i="2"/>
  <c r="D485" i="2"/>
  <c r="C485" i="2"/>
  <c r="L474" i="2"/>
  <c r="E474" i="2"/>
  <c r="D474" i="2"/>
  <c r="H500" i="2"/>
  <c r="J500" i="2" s="1"/>
  <c r="L500" i="2" s="1"/>
  <c r="F500" i="2"/>
  <c r="D500" i="2"/>
  <c r="H499" i="2"/>
  <c r="J499" i="2" s="1"/>
  <c r="L499" i="2" s="1"/>
  <c r="F499" i="2"/>
  <c r="D499" i="2"/>
  <c r="L495" i="2"/>
  <c r="E473" i="2"/>
  <c r="D473" i="2"/>
  <c r="C472" i="2"/>
  <c r="J449" i="2"/>
  <c r="L449" i="2" s="1"/>
  <c r="L452" i="2" s="1"/>
  <c r="H449" i="2"/>
  <c r="D449" i="2"/>
  <c r="C449" i="2"/>
  <c r="L438" i="2"/>
  <c r="E438" i="2"/>
  <c r="D438" i="2"/>
  <c r="H464" i="2"/>
  <c r="J464" i="2" s="1"/>
  <c r="L464" i="2" s="1"/>
  <c r="F464" i="2"/>
  <c r="D464" i="2"/>
  <c r="H463" i="2"/>
  <c r="J463" i="2" s="1"/>
  <c r="L463" i="2" s="1"/>
  <c r="F463" i="2"/>
  <c r="D463" i="2"/>
  <c r="L459" i="2"/>
  <c r="E437" i="2"/>
  <c r="D437" i="2"/>
  <c r="C436" i="2"/>
  <c r="J413" i="2"/>
  <c r="L413" i="2" s="1"/>
  <c r="L416" i="2" s="1"/>
  <c r="H413" i="2"/>
  <c r="D413" i="2"/>
  <c r="C413" i="2"/>
  <c r="L402" i="2"/>
  <c r="E402" i="2"/>
  <c r="D402" i="2"/>
  <c r="H428" i="2"/>
  <c r="J428" i="2" s="1"/>
  <c r="L428" i="2" s="1"/>
  <c r="F428" i="2"/>
  <c r="D428" i="2"/>
  <c r="H427" i="2"/>
  <c r="J427" i="2" s="1"/>
  <c r="L427" i="2" s="1"/>
  <c r="F427" i="2"/>
  <c r="D427" i="2"/>
  <c r="L423" i="2"/>
  <c r="E401" i="2"/>
  <c r="D401" i="2"/>
  <c r="C400" i="2"/>
  <c r="E365" i="2"/>
  <c r="J377" i="2"/>
  <c r="L377" i="2" s="1"/>
  <c r="L380" i="2" s="1"/>
  <c r="H377" i="2"/>
  <c r="D377" i="2"/>
  <c r="C377" i="2"/>
  <c r="L366" i="2"/>
  <c r="E366" i="2"/>
  <c r="D366" i="2"/>
  <c r="D365" i="2"/>
  <c r="C364" i="2"/>
  <c r="H392" i="2"/>
  <c r="J392" i="2" s="1"/>
  <c r="L392" i="2" s="1"/>
  <c r="F392" i="2"/>
  <c r="D392" i="2"/>
  <c r="H391" i="2"/>
  <c r="J391" i="2" s="1"/>
  <c r="L391" i="2" s="1"/>
  <c r="F391" i="2"/>
  <c r="D391" i="2"/>
  <c r="L387" i="2"/>
  <c r="C328" i="2"/>
  <c r="J341" i="2"/>
  <c r="H356" i="2"/>
  <c r="J356" i="2" s="1"/>
  <c r="L356" i="2" s="1"/>
  <c r="H355" i="2"/>
  <c r="F355" i="2"/>
  <c r="F356" i="2"/>
  <c r="D356" i="2"/>
  <c r="H341" i="2"/>
  <c r="D341" i="2"/>
  <c r="C341" i="2"/>
  <c r="L330" i="2"/>
  <c r="E330" i="2"/>
  <c r="D330" i="2"/>
  <c r="E329" i="2"/>
  <c r="D329" i="2"/>
  <c r="J304" i="2"/>
  <c r="L304" i="2" s="1"/>
  <c r="J303" i="2"/>
  <c r="L303" i="2" s="1"/>
  <c r="J302" i="2"/>
  <c r="L302" i="2" s="1"/>
  <c r="H303" i="2"/>
  <c r="H302" i="2"/>
  <c r="H304" i="2"/>
  <c r="D304" i="2"/>
  <c r="D303" i="2"/>
  <c r="D302" i="2"/>
  <c r="C304" i="2"/>
  <c r="C303" i="2"/>
  <c r="C302" i="2"/>
  <c r="C291" i="2"/>
  <c r="L293" i="2"/>
  <c r="E293" i="2"/>
  <c r="E292" i="2"/>
  <c r="D293" i="2"/>
  <c r="D292" i="2"/>
  <c r="J268" i="2"/>
  <c r="H268" i="2"/>
  <c r="D268" i="2"/>
  <c r="C268" i="2"/>
  <c r="L257" i="2"/>
  <c r="E257" i="2"/>
  <c r="E256" i="2"/>
  <c r="D257" i="2"/>
  <c r="D256" i="2"/>
  <c r="C255" i="2"/>
  <c r="K247" i="2"/>
  <c r="I239" i="2"/>
  <c r="K239" i="2"/>
  <c r="L239" i="2" s="1"/>
  <c r="D239" i="2"/>
  <c r="C239" i="2"/>
  <c r="L221" i="2"/>
  <c r="E221" i="2"/>
  <c r="D221" i="2"/>
  <c r="E220" i="2"/>
  <c r="D220" i="2"/>
  <c r="C219" i="2"/>
  <c r="K211" i="2"/>
  <c r="K190" i="2"/>
  <c r="L190" i="2" s="1"/>
  <c r="I190" i="2"/>
  <c r="D190" i="2"/>
  <c r="L186" i="2"/>
  <c r="E186" i="2"/>
  <c r="D186" i="2"/>
  <c r="E185" i="2"/>
  <c r="D185" i="2"/>
  <c r="C184" i="2"/>
  <c r="H211" i="2"/>
  <c r="J211" i="2" s="1"/>
  <c r="F211" i="2"/>
  <c r="D211" i="2"/>
  <c r="H210" i="2"/>
  <c r="J210" i="2" s="1"/>
  <c r="L210" i="2" s="1"/>
  <c r="F210" i="2"/>
  <c r="D210" i="2"/>
  <c r="L206" i="2"/>
  <c r="L199" i="2"/>
  <c r="C150" i="2"/>
  <c r="C114" i="2"/>
  <c r="C78" i="2"/>
  <c r="L152" i="2"/>
  <c r="E152" i="2"/>
  <c r="D152" i="2"/>
  <c r="E151" i="2"/>
  <c r="D151" i="2"/>
  <c r="H176" i="2"/>
  <c r="J176" i="2" s="1"/>
  <c r="L176" i="2" s="1"/>
  <c r="L178" i="2" s="1"/>
  <c r="F176" i="2"/>
  <c r="D176" i="2"/>
  <c r="L171" i="2"/>
  <c r="L165" i="2"/>
  <c r="L116" i="2"/>
  <c r="E116" i="2"/>
  <c r="D116" i="2"/>
  <c r="E115" i="2"/>
  <c r="D115" i="2"/>
  <c r="H141" i="2"/>
  <c r="J141" i="2" s="1"/>
  <c r="L141" i="2" s="1"/>
  <c r="L144" i="2" s="1"/>
  <c r="F141" i="2"/>
  <c r="D141" i="2"/>
  <c r="L137" i="2"/>
  <c r="L130" i="2"/>
  <c r="L123" i="2"/>
  <c r="L122" i="2"/>
  <c r="H105" i="2"/>
  <c r="J105" i="2" s="1"/>
  <c r="L105" i="2" s="1"/>
  <c r="F105" i="2"/>
  <c r="D105" i="2"/>
  <c r="L87" i="2"/>
  <c r="L86" i="2"/>
  <c r="L80" i="2"/>
  <c r="E80" i="2"/>
  <c r="D80" i="2"/>
  <c r="E79" i="2"/>
  <c r="D79" i="2"/>
  <c r="C42" i="2"/>
  <c r="H56" i="2"/>
  <c r="H55" i="2"/>
  <c r="D56" i="2"/>
  <c r="D55" i="2"/>
  <c r="C56" i="2"/>
  <c r="C55" i="2"/>
  <c r="L44" i="2"/>
  <c r="E44" i="2"/>
  <c r="E43" i="2"/>
  <c r="D44" i="2"/>
  <c r="D43" i="2"/>
  <c r="L6" i="2"/>
  <c r="C4" i="2"/>
  <c r="E6" i="2"/>
  <c r="E5" i="2"/>
  <c r="D6" i="2"/>
  <c r="D5" i="2"/>
  <c r="F45" i="9"/>
  <c r="F44" i="9"/>
  <c r="F41" i="9"/>
  <c r="F40" i="9"/>
  <c r="F39" i="9"/>
  <c r="F38" i="9"/>
  <c r="F37" i="9"/>
  <c r="F36" i="9"/>
  <c r="F35" i="9"/>
  <c r="F34" i="9"/>
  <c r="F33" i="9"/>
  <c r="F32" i="9"/>
  <c r="F31" i="9"/>
  <c r="F30" i="9"/>
  <c r="F29" i="9"/>
  <c r="F28" i="9"/>
  <c r="F46" i="9" l="1"/>
  <c r="L610" i="2"/>
  <c r="K588" i="2" s="1"/>
  <c r="L588" i="2" s="1"/>
  <c r="L589" i="2" s="1"/>
  <c r="K612" i="2" s="1"/>
  <c r="L502" i="2"/>
  <c r="K480" i="2" s="1"/>
  <c r="L480" i="2" s="1"/>
  <c r="L481" i="2" s="1"/>
  <c r="L574" i="2"/>
  <c r="L466" i="2"/>
  <c r="K444" i="2" s="1"/>
  <c r="L444" i="2" s="1"/>
  <c r="L445" i="2" s="1"/>
  <c r="K468" i="2" s="1"/>
  <c r="L538" i="2"/>
  <c r="L430" i="2"/>
  <c r="L394" i="2"/>
  <c r="K372" i="2" s="1"/>
  <c r="L372" i="2" s="1"/>
  <c r="L373" i="2" s="1"/>
  <c r="L211" i="2"/>
  <c r="L213" i="2" s="1"/>
  <c r="K157" i="2"/>
  <c r="L157" i="2" s="1"/>
  <c r="L159" i="2" s="1"/>
  <c r="K180" i="2" s="1"/>
  <c r="K121" i="2"/>
  <c r="L121" i="2" s="1"/>
  <c r="L124" i="2" s="1"/>
  <c r="K146" i="2" s="1"/>
  <c r="E12" i="10" l="1"/>
  <c r="F12" i="10" s="1"/>
  <c r="E11" i="9"/>
  <c r="F11" i="9" s="1"/>
  <c r="E27" i="9"/>
  <c r="F27" i="9" s="1"/>
  <c r="E28" i="10"/>
  <c r="F28" i="10" s="1"/>
  <c r="E24" i="10"/>
  <c r="F24" i="10" s="1"/>
  <c r="E23" i="9"/>
  <c r="F23" i="9" s="1"/>
  <c r="E9" i="10"/>
  <c r="F9" i="10" s="1"/>
  <c r="E8" i="9"/>
  <c r="F8" i="9" s="1"/>
  <c r="K396" i="2"/>
  <c r="O383" i="2"/>
  <c r="K504" i="2"/>
  <c r="O492" i="2"/>
  <c r="K552" i="2"/>
  <c r="L552" i="2" s="1"/>
  <c r="L553" i="2" s="1"/>
  <c r="K576" i="2" s="1"/>
  <c r="K516" i="2"/>
  <c r="L516" i="2" s="1"/>
  <c r="L517" i="2" s="1"/>
  <c r="K540" i="2" s="1"/>
  <c r="K408" i="2"/>
  <c r="L408" i="2" s="1"/>
  <c r="L409" i="2" s="1"/>
  <c r="K432" i="2" s="1"/>
  <c r="O456" i="2"/>
  <c r="K191" i="2"/>
  <c r="L191" i="2" s="1"/>
  <c r="L193" i="2" s="1"/>
  <c r="K215" i="2" s="1"/>
  <c r="E25" i="10" l="1"/>
  <c r="F25" i="10" s="1"/>
  <c r="E24" i="9"/>
  <c r="F24" i="9" s="1"/>
  <c r="E26" i="9"/>
  <c r="F26" i="9" s="1"/>
  <c r="E27" i="10"/>
  <c r="F27" i="10" s="1"/>
  <c r="E23" i="10"/>
  <c r="F23" i="10" s="1"/>
  <c r="E22" i="9"/>
  <c r="F22" i="9" s="1"/>
  <c r="E25" i="9"/>
  <c r="F25" i="9" s="1"/>
  <c r="E26" i="10"/>
  <c r="F26" i="10" s="1"/>
  <c r="E13" i="10"/>
  <c r="F13" i="10" s="1"/>
  <c r="E12" i="9"/>
  <c r="F12" i="9" s="1"/>
  <c r="E21" i="9"/>
  <c r="F21" i="9" s="1"/>
  <c r="F42" i="9" s="1"/>
  <c r="E22" i="10"/>
  <c r="F22" i="10" s="1"/>
  <c r="F43" i="10" s="1"/>
  <c r="O564" i="2"/>
  <c r="O528" i="2"/>
  <c r="O420" i="2"/>
  <c r="D226" i="3" l="1"/>
  <c r="D225" i="3"/>
  <c r="D4" i="3"/>
  <c r="D223" i="3"/>
  <c r="D222" i="3"/>
  <c r="L341" i="2"/>
  <c r="D214" i="3" l="1"/>
  <c r="H319" i="2" l="1"/>
  <c r="J319" i="2" s="1"/>
  <c r="L319" i="2" s="1"/>
  <c r="L322" i="2" s="1"/>
  <c r="K297" i="2" s="1"/>
  <c r="L297" i="2" s="1"/>
  <c r="L298" i="2" s="1"/>
  <c r="L315" i="2"/>
  <c r="L308" i="2"/>
  <c r="H247" i="2"/>
  <c r="J247" i="2" s="1"/>
  <c r="L247" i="2" s="1"/>
  <c r="H246" i="2"/>
  <c r="J246" i="2" s="1"/>
  <c r="L246" i="2" s="1"/>
  <c r="L242" i="2"/>
  <c r="H283" i="2"/>
  <c r="J283" i="2" s="1"/>
  <c r="L283" i="2" s="1"/>
  <c r="H282" i="2"/>
  <c r="J282" i="2" s="1"/>
  <c r="L282" i="2" s="1"/>
  <c r="L278" i="2"/>
  <c r="L268" i="2"/>
  <c r="L269" i="2"/>
  <c r="J355" i="2"/>
  <c r="L355" i="2" s="1"/>
  <c r="L358" i="2" s="1"/>
  <c r="L351" i="2"/>
  <c r="L344" i="2"/>
  <c r="D134" i="3"/>
  <c r="J34" i="2"/>
  <c r="L34" i="2" s="1"/>
  <c r="J33" i="2"/>
  <c r="L33" i="2" s="1"/>
  <c r="L29" i="2"/>
  <c r="J17" i="2"/>
  <c r="L17" i="2" s="1"/>
  <c r="J18" i="2"/>
  <c r="L18" i="2" s="1"/>
  <c r="J19" i="2"/>
  <c r="L19" i="2" s="1"/>
  <c r="K12" i="2"/>
  <c r="L12" i="2" s="1"/>
  <c r="H70" i="2"/>
  <c r="J70" i="2" s="1"/>
  <c r="L70" i="2" s="1"/>
  <c r="L65" i="2"/>
  <c r="J55" i="2"/>
  <c r="L55" i="2" s="1"/>
  <c r="J56" i="2"/>
  <c r="L56" i="2" s="1"/>
  <c r="L108" i="2"/>
  <c r="K85" i="2" s="1"/>
  <c r="L85" i="2" s="1"/>
  <c r="L88" i="2" s="1"/>
  <c r="L101" i="2"/>
  <c r="L94" i="2"/>
  <c r="D55" i="3"/>
  <c r="D102" i="3"/>
  <c r="D224" i="3"/>
  <c r="D228" i="3"/>
  <c r="D221" i="3"/>
  <c r="A224" i="3"/>
  <c r="B228" i="3"/>
  <c r="A228" i="3"/>
  <c r="A221" i="3"/>
  <c r="H18" i="2"/>
  <c r="H19" i="2"/>
  <c r="D18" i="2"/>
  <c r="D19" i="2"/>
  <c r="C18" i="2"/>
  <c r="C19" i="2"/>
  <c r="H17" i="2"/>
  <c r="D17" i="2"/>
  <c r="C17" i="2"/>
  <c r="I12" i="2"/>
  <c r="D12" i="2"/>
  <c r="F70" i="2"/>
  <c r="D70" i="2"/>
  <c r="F34" i="2"/>
  <c r="F33" i="2"/>
  <c r="F247" i="2"/>
  <c r="D247" i="2"/>
  <c r="F246" i="2"/>
  <c r="D246" i="2"/>
  <c r="D355" i="2"/>
  <c r="F319" i="2"/>
  <c r="D319" i="2"/>
  <c r="F283" i="2"/>
  <c r="D283" i="2"/>
  <c r="F282" i="2"/>
  <c r="D282" i="2"/>
  <c r="D28" i="3"/>
  <c r="D72" i="3"/>
  <c r="D63" i="3" l="1"/>
  <c r="D239" i="3"/>
  <c r="L36" i="2"/>
  <c r="K11" i="2" s="1"/>
  <c r="L11" i="2" s="1"/>
  <c r="L13" i="2" s="1"/>
  <c r="K324" i="2"/>
  <c r="L249" i="2"/>
  <c r="K226" i="2" s="1"/>
  <c r="L226" i="2" s="1"/>
  <c r="L228" i="2" s="1"/>
  <c r="K110" i="2"/>
  <c r="L72" i="2"/>
  <c r="K49" i="2" s="1"/>
  <c r="L49" i="2" s="1"/>
  <c r="L51" i="2" s="1"/>
  <c r="L235" i="2"/>
  <c r="L58" i="2"/>
  <c r="L271" i="2"/>
  <c r="L22" i="2"/>
  <c r="K336" i="2"/>
  <c r="L336" i="2" s="1"/>
  <c r="L337" i="2" s="1"/>
  <c r="K360" i="2" s="1"/>
  <c r="L285" i="2"/>
  <c r="E19" i="10" l="1"/>
  <c r="F19" i="10" s="1"/>
  <c r="E18" i="9"/>
  <c r="F18" i="9" s="1"/>
  <c r="E18" i="10"/>
  <c r="F18" i="10" s="1"/>
  <c r="E17" i="9"/>
  <c r="F17" i="9" s="1"/>
  <c r="E8" i="10"/>
  <c r="F8" i="10" s="1"/>
  <c r="E7" i="9"/>
  <c r="F7" i="9" s="1"/>
  <c r="K38" i="2"/>
  <c r="K74" i="2"/>
  <c r="K251" i="2"/>
  <c r="K262" i="2"/>
  <c r="L262" i="2" s="1"/>
  <c r="L264" i="2" s="1"/>
  <c r="K287" i="2" s="1"/>
  <c r="E17" i="10" l="1"/>
  <c r="F17" i="10" s="1"/>
  <c r="F20" i="10" s="1"/>
  <c r="E16" i="9"/>
  <c r="F16" i="9" s="1"/>
  <c r="F19" i="9" s="1"/>
  <c r="E7" i="10"/>
  <c r="F7" i="10" s="1"/>
  <c r="E6" i="9"/>
  <c r="F6" i="9" s="1"/>
  <c r="E6" i="10"/>
  <c r="F6" i="10" s="1"/>
  <c r="E5" i="9"/>
  <c r="F5" i="9" s="1"/>
  <c r="E14" i="10"/>
  <c r="F14" i="10" s="1"/>
  <c r="F15" i="10" s="1"/>
  <c r="E13" i="9"/>
  <c r="F13" i="9" s="1"/>
  <c r="F14" i="9" s="1"/>
  <c r="B221" i="3"/>
  <c r="F9" i="9" l="1"/>
  <c r="F47" i="9" s="1"/>
  <c r="F48" i="9"/>
  <c r="F49" i="9"/>
  <c r="F50" i="9"/>
  <c r="F10" i="10"/>
  <c r="F48" i="10" s="1"/>
  <c r="B239" i="3"/>
  <c r="B224" i="3"/>
  <c r="F49" i="10" l="1"/>
  <c r="F51" i="10"/>
  <c r="F50" i="10"/>
  <c r="B63" i="3"/>
  <c r="J17" i="11"/>
  <c r="J66" i="11" s="1"/>
  <c r="J68" i="11" s="1"/>
  <c r="J67" i="11" l="1"/>
  <c r="J69" i="11"/>
  <c r="J70" i="11" l="1"/>
  <c r="J72" i="11" s="1"/>
  <c r="J73" i="11" s="1"/>
  <c r="J74"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ermachucarhp@outlook.com</author>
  </authors>
  <commentList>
    <comment ref="B39" authorId="0" shapeId="0" xr:uid="{00000000-0006-0000-0700-000001000000}">
      <text>
        <r>
          <rPr>
            <b/>
            <sz val="9"/>
            <color indexed="81"/>
            <rFont val="Tahoma"/>
            <family val="2"/>
          </rPr>
          <t>ermachucarhp@outlook.com:</t>
        </r>
        <r>
          <rPr>
            <sz val="9"/>
            <color indexed="81"/>
            <rFont val="Tahoma"/>
            <family val="2"/>
          </rPr>
          <t xml:space="preserve">
quitar 6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ermachucarhp@outlook.com</author>
  </authors>
  <commentList>
    <comment ref="B39" authorId="0" shapeId="0" xr:uid="{00000000-0006-0000-0800-000001000000}">
      <text>
        <r>
          <rPr>
            <b/>
            <sz val="9"/>
            <color indexed="81"/>
            <rFont val="Tahoma"/>
            <family val="2"/>
          </rPr>
          <t>ermachucarhp@outlook.com:</t>
        </r>
        <r>
          <rPr>
            <sz val="9"/>
            <color indexed="81"/>
            <rFont val="Tahoma"/>
            <family val="2"/>
          </rPr>
          <t xml:space="preserve">
quitar 6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ermachucarhp@outlook.com</author>
  </authors>
  <commentList>
    <comment ref="B40" authorId="0" shapeId="0" xr:uid="{40E2DA5E-1E21-42C3-85B0-69B11E54039F}">
      <text>
        <r>
          <rPr>
            <b/>
            <sz val="9"/>
            <color indexed="81"/>
            <rFont val="Tahoma"/>
            <family val="2"/>
          </rPr>
          <t>ermachucarhp@outlook.com:</t>
        </r>
        <r>
          <rPr>
            <sz val="9"/>
            <color indexed="81"/>
            <rFont val="Tahoma"/>
            <family val="2"/>
          </rPr>
          <t xml:space="preserve">
quitar 6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E42" authorId="0" shapeId="0" xr:uid="{F5DC2753-A17F-4C58-8E1D-A19C30604CE6}">
      <text>
        <r>
          <rPr>
            <b/>
            <sz val="9"/>
            <color indexed="81"/>
            <rFont val="Tahoma"/>
            <family val="2"/>
          </rPr>
          <t>Usuario:</t>
        </r>
        <r>
          <rPr>
            <sz val="9"/>
            <color indexed="81"/>
            <rFont val="Tahoma"/>
            <family val="2"/>
          </rPr>
          <t xml:space="preserve">
</t>
        </r>
        <r>
          <rPr>
            <sz val="9"/>
            <color indexed="81"/>
            <rFont val="Symbol"/>
            <family val="1"/>
            <charset val="2"/>
          </rPr>
          <t>·40</t>
        </r>
        <r>
          <rPr>
            <sz val="9"/>
            <color indexed="81"/>
            <rFont val="Tahoma"/>
            <family val="2"/>
          </rPr>
          <t xml:space="preserve">x0.85x1.0 </t>
        </r>
        <r>
          <rPr>
            <sz val="9"/>
            <color indexed="81"/>
            <rFont val="Calibri"/>
            <family val="2"/>
          </rPr>
          <t>Ø</t>
        </r>
        <r>
          <rPr>
            <sz val="9"/>
            <color indexed="81"/>
            <rFont val="Tahoma"/>
            <family val="2"/>
          </rPr>
          <t>1/2"c. 1.2 m l=0.85 m</t>
        </r>
        <r>
          <rPr>
            <sz val="9"/>
            <color indexed="81"/>
            <rFont val="Calibri"/>
            <family val="2"/>
          </rPr>
          <t>→</t>
        </r>
        <r>
          <rPr>
            <sz val="9"/>
            <color indexed="81"/>
            <rFont val="Tahoma"/>
            <family val="2"/>
          </rPr>
          <t xml:space="preserve">varilla de anclaje a lo largo de la junta longitudinal
</t>
        </r>
        <r>
          <rPr>
            <sz val="9"/>
            <color indexed="81"/>
            <rFont val="Symbol"/>
            <family val="1"/>
            <charset val="2"/>
          </rPr>
          <t>·</t>
        </r>
        <r>
          <rPr>
            <sz val="9"/>
            <color indexed="81"/>
            <rFont val="Tahoma"/>
            <family val="2"/>
          </rPr>
          <t xml:space="preserve">0.35x224x4.0 </t>
        </r>
        <r>
          <rPr>
            <sz val="9"/>
            <color indexed="81"/>
            <rFont val="Calibri"/>
            <family val="2"/>
          </rPr>
          <t>Ø</t>
        </r>
        <r>
          <rPr>
            <sz val="9"/>
            <color indexed="81"/>
            <rFont val="Tahoma"/>
            <family val="2"/>
          </rPr>
          <t xml:space="preserve"> 1" c. 0.3 m en las juntas transversales cada 5.0m l=0.35m
-Refuerzo minimo para una peatonal en colocar malla XX-0.50 en toda la superficie, la malla pesa 0.82 kg/m2 más 5% adicional por traslapos.  </t>
        </r>
      </text>
    </comment>
  </commentList>
</comments>
</file>

<file path=xl/sharedStrings.xml><?xml version="1.0" encoding="utf-8"?>
<sst xmlns="http://schemas.openxmlformats.org/spreadsheetml/2006/main" count="6112" uniqueCount="1083">
  <si>
    <t>EQ-0001</t>
  </si>
  <si>
    <t>Equipos de topografía</t>
  </si>
  <si>
    <t>día</t>
  </si>
  <si>
    <t>EQ-0002</t>
  </si>
  <si>
    <t>Compresor 2 martillos</t>
  </si>
  <si>
    <t>hora</t>
  </si>
  <si>
    <t>EQ-0003</t>
  </si>
  <si>
    <t>cargador</t>
  </si>
  <si>
    <t>EQ-0004</t>
  </si>
  <si>
    <t>Pulidora  Disco Tipo pesado</t>
  </si>
  <si>
    <t>EQ-0005</t>
  </si>
  <si>
    <t>Vibrocompactador (rana)</t>
  </si>
  <si>
    <t>EQ-0006</t>
  </si>
  <si>
    <t>EQ-0007</t>
  </si>
  <si>
    <t>Equipo de pintura</t>
  </si>
  <si>
    <t>EQ-0008</t>
  </si>
  <si>
    <t xml:space="preserve">Equipo y elementos auxiliares para soldadura eléctrica.				</t>
  </si>
  <si>
    <t>EQ-0009</t>
  </si>
  <si>
    <t>Equipo de seguridad</t>
  </si>
  <si>
    <t xml:space="preserve">Global </t>
  </si>
  <si>
    <t>EQ-0010</t>
  </si>
  <si>
    <t>EQ-0011</t>
  </si>
  <si>
    <t>Flota canal (big blue)</t>
  </si>
  <si>
    <t>dia</t>
  </si>
  <si>
    <t>EQ-0012</t>
  </si>
  <si>
    <t>Andamio certificado (incluye transporte)</t>
  </si>
  <si>
    <t>EQ-0013</t>
  </si>
  <si>
    <t>Vibrador eléctrico</t>
  </si>
  <si>
    <t>EQ-0014</t>
  </si>
  <si>
    <t>Taladro percutor</t>
  </si>
  <si>
    <t>diía</t>
  </si>
  <si>
    <t>EQ-0015</t>
  </si>
  <si>
    <t>Hidrolavadora</t>
  </si>
  <si>
    <t>EQ-0016</t>
  </si>
  <si>
    <t>Equipo de Soldadura</t>
  </si>
  <si>
    <t>EQ-0017</t>
  </si>
  <si>
    <t>vibrador de concreto  (incluye operador)</t>
  </si>
  <si>
    <t>EQ-0018</t>
  </si>
  <si>
    <t>Cortadora de concreto, Máxima profundidad de corte: 170 mm. Capacidad de disco: desde 12´´ hasta 18´´ de diámetro. Peso operacional: 135 kg, 13.5 hp de potencia</t>
  </si>
  <si>
    <t>EQ-0019</t>
  </si>
  <si>
    <t>Tableros de (0,7x1,4)m</t>
  </si>
  <si>
    <t>EQ-0020</t>
  </si>
  <si>
    <t xml:space="preserve">Cercha metálica de 3 m de longitud </t>
  </si>
  <si>
    <t>EQ-0021</t>
  </si>
  <si>
    <t xml:space="preserve">Parales de 4 m de longitud </t>
  </si>
  <si>
    <t>EQ-0022</t>
  </si>
  <si>
    <t>Tablones de 3 m de longitud </t>
  </si>
  <si>
    <t>EQ-0023</t>
  </si>
  <si>
    <t>Crucetas</t>
  </si>
  <si>
    <t>EQ-0024</t>
  </si>
  <si>
    <t>Concretera.</t>
  </si>
  <si>
    <t>DESCRIPCIÓN</t>
  </si>
  <si>
    <t>UNIDAD</t>
  </si>
  <si>
    <t>PRELIMINARES</t>
  </si>
  <si>
    <t>und</t>
  </si>
  <si>
    <t>m2</t>
  </si>
  <si>
    <t>ml</t>
  </si>
  <si>
    <t>m3</t>
  </si>
  <si>
    <t>Und</t>
  </si>
  <si>
    <t>Un</t>
  </si>
  <si>
    <t>ML</t>
  </si>
  <si>
    <t>glb</t>
  </si>
  <si>
    <t>Ml</t>
  </si>
  <si>
    <t>Gl</t>
  </si>
  <si>
    <t>Kg</t>
  </si>
  <si>
    <t>kg</t>
  </si>
  <si>
    <t>CODIGO</t>
  </si>
  <si>
    <t>MATERIAL</t>
  </si>
  <si>
    <t>VALOR
UNITARIO</t>
  </si>
  <si>
    <t>MAT-001</t>
  </si>
  <si>
    <t>Suministro, transporte, montaje e instalacion de elevador panoramico con sistema de transmicion hidraulica para personas con discapacidad (Capacidad 300Kg con 3 paradas) con las siguientes especificaciones:
- Dimensiones: 1.1 x 1,1 x 2 m interno útil 
- Cierres magnéticos en cabina
- Acabados en acero inoxidable y vidrio templado de 8 mm en toda la cabina
- Estructura de soporte elevador 3 niveles en acero (segun especificaciones del constructor) 
- Acabado en vidrio templado de 8 mm para toda la estructura de soporte en los 3 niveles 
- Unidad Hidráulica 1.5 HP, monofásica 110V, 60Hz, 1750 rpm Protección IP 54
- Accesorios hidráulicos Válvula paracaídas, mangueras hidráulicas y grafados para 3500PSI
- Control eléctrico Incluye protección térmica y unidades de mando (una por cada nivel y una en cabina)
- Botonera: solicitud / display de nivel /paro</t>
  </si>
  <si>
    <t>MAT-002</t>
  </si>
  <si>
    <t xml:space="preserve">Suministro, transporte e intalacion de vidrio coloreado templado (e=8mm), incluye herrajes de fijacion y silicona </t>
  </si>
  <si>
    <t>MAT-003</t>
  </si>
  <si>
    <t>MAT-004</t>
  </si>
  <si>
    <t>malla 3/8¨cada 0,15m en ambos sentidos</t>
  </si>
  <si>
    <t>MAT-005</t>
  </si>
  <si>
    <t>Suministro, transporte e instalacion estructura metalica tipo container para cafeteria con las siguientes especificaciones
- Dimensiones (2,4m x 8m h=3,6m) interno util
-  Paredes laterales y techo en lámina cold rolled calibre 18 acanalado 
- Piso tarimado en triplex de 12mm recubierto con charolina.
-  Recubrimiento en pintura poliester de 1 color, para exteriores (interior y exterior)
- Área Total plata: 19,2 m2 (interna)
- Acometida eléctrica bifásica a 110V
- 3 puntos electricos 
- Tablero eléctrico.
- Riel de iluminación con 8 spots LED.
- Pintura Anticorrosiva y acabado color.
- 11 metros lineales de meson en acero inoxidable (incluye lavaplatos)
- 11 metros lineales de meson tipo barra en madera para servicio de comunidad
- Rejillas de ventilación.
- 2 puertas metalicas para acceso a cafeteria y a bodega  en lámina cold rolled calibre 18 (incluye marco, bisagras y chapa).
· Techos y pared (internos) recubiertos en superboard
- Pared division entre cafeteria y bodega en drywall 
- 3 Apertura para servicio  con marco interno en tubo cuadrado de 1" y lámina cold rolled calibre 18 con 2 brazos neumáticos (incluye marco, bisagras y cerrojos de seguridad) segun planos y especificaciones</t>
  </si>
  <si>
    <t>MAT-006</t>
  </si>
  <si>
    <t>Suministro, transporte e instalacion Bisagra cobre nudo 3"</t>
  </si>
  <si>
    <t>MAT-007</t>
  </si>
  <si>
    <t>Suministro, transporte e instalacion Puerta entamborada en madera cedro. (Lijada y pintada) (incluye agarraderas)</t>
  </si>
  <si>
    <t>MAT-008</t>
  </si>
  <si>
    <t xml:space="preserve">Suministro, transporte e instalacion de marco y tapaluz en madera cedro (Lijado y pintado) </t>
  </si>
  <si>
    <t>MAT-009</t>
  </si>
  <si>
    <t>Suministro, transporte e instalacion de kit riel para puerta plegable</t>
  </si>
  <si>
    <t>MAT-010</t>
  </si>
  <si>
    <t>Gramoquin en cemento (0,4 mt x 0,4 mt x 0,08 mt)</t>
  </si>
  <si>
    <t>MAT-011</t>
  </si>
  <si>
    <t>Piso en caucho granulado EPDM Europeo (20 mm caucho reciclado y 10 mm en caucho EPDM) (suministro, transporte e instalacion)</t>
  </si>
  <si>
    <t>MAT-013</t>
  </si>
  <si>
    <t>Mortero 1:4 (incluye transporte)</t>
  </si>
  <si>
    <t>MAT-014</t>
  </si>
  <si>
    <t>Pradoquin en gres (0,2m x 0,2m) e=0,062m</t>
  </si>
  <si>
    <t>MAT-015</t>
  </si>
  <si>
    <t>Disco de corte Diamantado  9"</t>
  </si>
  <si>
    <t>MAT-016</t>
  </si>
  <si>
    <t>MAT-017</t>
  </si>
  <si>
    <t>Gravilla (para mezcla cimiento pradoquin e=0,1)</t>
  </si>
  <si>
    <t>MAT-018</t>
  </si>
  <si>
    <t>suelo natural  (para mezcla cimiento pradoquin e=0,1)</t>
  </si>
  <si>
    <t>MAT-019</t>
  </si>
  <si>
    <t>arena fina (e=0,04m)</t>
  </si>
  <si>
    <t>MAT-020</t>
  </si>
  <si>
    <t>tierra negra mejorada</t>
  </si>
  <si>
    <t>MAT-021</t>
  </si>
  <si>
    <t>Semilla pasto</t>
  </si>
  <si>
    <t>MAT-022</t>
  </si>
  <si>
    <t>Alfagia en gres M-29 (0.12m x 0.29m) e=0.075</t>
  </si>
  <si>
    <t>MAT-023</t>
  </si>
  <si>
    <t>ladrillo a la vista M-30 (0,3mx0,14mx0,14m)</t>
  </si>
  <si>
    <t>Ladrillo</t>
  </si>
  <si>
    <t>MAT-025</t>
  </si>
  <si>
    <t xml:space="preserve">Base madera Zapan (0,48m*0,48m) e=0,04m acabado (pulido, inmunizado y esmaltado) </t>
  </si>
  <si>
    <t>MAT-027</t>
  </si>
  <si>
    <t>valla informativa en madera zapan (1mx 1,5m) e=0,04m</t>
  </si>
  <si>
    <t>MAT-028</t>
  </si>
  <si>
    <t>base de madera zapan (0,2mx0,2m) L=3m (incluye informacion y soportes)</t>
  </si>
  <si>
    <t>MAT-029</t>
  </si>
  <si>
    <t>tornillo (incluye arandela y tuerca)</t>
  </si>
  <si>
    <t>MAT-030</t>
  </si>
  <si>
    <t>bolo de rio</t>
  </si>
  <si>
    <t>MAT-031</t>
  </si>
  <si>
    <t>MAT-032</t>
  </si>
  <si>
    <t>MAT-033</t>
  </si>
  <si>
    <t>Extrublock 0,11mx0,95mx0,29m</t>
  </si>
  <si>
    <t>MAT-034</t>
  </si>
  <si>
    <t>Pasamanos en acero laminado en caliente, espesor de dos (2) milímetros, un tubo horizontal superior de 2” (diámetro exterior), dos tubos horizontales de 1” (diámetro exterior) cada 0.30 metros,  para una altura total de 1.00 metro; parales en tubería en acero laminado en caliente de 1 ½”, espesor de dos (2) milímetros cada 1.50 metros; pintura con base anticorrosiva y pintura en esmalte sintético color “aluminio mezcla”; cada paral deben ir soldado a una platina de 0.10 M x 0.10 M x 3/16”, y anclado a la placa en concreto de las huellas con dos (2) anclajes de 2 ½” x ½”, en los remates del pasamanos soldar tapas en acero</t>
  </si>
  <si>
    <t>MAT-035</t>
  </si>
  <si>
    <t>caneca para mobiliario urbano (incluye tornillos de apoyo)</t>
  </si>
  <si>
    <t>MAT-036</t>
  </si>
  <si>
    <t>Té rojo (Euonymus alatus) h=0,4m (incluye suministro y transporte)</t>
  </si>
  <si>
    <t>MAT-037</t>
  </si>
  <si>
    <t>palma areca h=1,5m (incluye suministro y transporte)</t>
  </si>
  <si>
    <t>MAT-038</t>
  </si>
  <si>
    <t>prado trenza  (incluye suministro y transporte)</t>
  </si>
  <si>
    <t>MAT-039</t>
  </si>
  <si>
    <t>Barniz base poliuretano trafico alto de 2 componentes</t>
  </si>
  <si>
    <t>Galon</t>
  </si>
  <si>
    <t>MAT-040</t>
  </si>
  <si>
    <t xml:space="preserve">Soldadura Liquida Para Metal </t>
  </si>
  <si>
    <t>MAT-041</t>
  </si>
  <si>
    <t xml:space="preserve">malla eslabonada de 2.  1/4" x 2 .1/4" cal. 10. </t>
  </si>
  <si>
    <t>MAT-042</t>
  </si>
  <si>
    <t>Angulo de 3/16 x 1 1/2"</t>
  </si>
  <si>
    <t>MAT-043</t>
  </si>
  <si>
    <t>Tubería aguas negras 2"x 0,8 (2 mm) cal 14</t>
  </si>
  <si>
    <t>MAT-044</t>
  </si>
  <si>
    <t>Soldadura 6013</t>
  </si>
  <si>
    <t>MAT-045</t>
  </si>
  <si>
    <t>Anticorrosivo</t>
  </si>
  <si>
    <t>galón</t>
  </si>
  <si>
    <t>MAT-046</t>
  </si>
  <si>
    <t>Esmalte doméstico</t>
  </si>
  <si>
    <t>MAT-047</t>
  </si>
  <si>
    <t>lamina calibre 20 de 1x 2</t>
  </si>
  <si>
    <t>MAT-048</t>
  </si>
  <si>
    <t>Ipomoea Indica o enredadera quinceañera (suministro, transporte y siembra)</t>
  </si>
  <si>
    <t>Unidad</t>
  </si>
  <si>
    <t>MAT-049</t>
  </si>
  <si>
    <t>Ceiba h=3 metros (suministro y transporte)</t>
  </si>
  <si>
    <t>MAT-050</t>
  </si>
  <si>
    <t>Modulo deck  0,145 m x 1m x 0,045m (suministro, transporte)</t>
  </si>
  <si>
    <t>MAT-051</t>
  </si>
  <si>
    <t>Luminaria LED SPRING 45 W NW (incluye transporte)</t>
  </si>
  <si>
    <t>MAT-052</t>
  </si>
  <si>
    <t>Accesorios Varios 1. (incluye transporte)</t>
  </si>
  <si>
    <t>MAT-053</t>
  </si>
  <si>
    <t>Accesorios (Sctiker BAXXXXX y Sctiker Potencia) (incluye transporte)</t>
  </si>
  <si>
    <t>MAT-054</t>
  </si>
  <si>
    <t>poste de fibra de vidrio acabado superficial liso uniforme sin protuberancias con pintura  tipo poliuretano (color a definir en obra) altura libre  4,5m  carga de rotura 150 Kg, con  base placa y canastilla de anclaje (incluye transporte)</t>
  </si>
  <si>
    <t>MAT-055</t>
  </si>
  <si>
    <t>M3</t>
  </si>
  <si>
    <t>MAT-056</t>
  </si>
  <si>
    <t>Cable Cobre No 3x12 encauchetado PVC 75°/600V  (incluye transporte)</t>
  </si>
  <si>
    <t>MAT-057</t>
  </si>
  <si>
    <t>Cable Aluminio  No 6 THHN  75°/600V serie 8000   (incluye transporte)</t>
  </si>
  <si>
    <t>MAT-058</t>
  </si>
  <si>
    <t>Tubo PVC conduit tipo pesado 3/4"x 3 mts   (incluye transporte)</t>
  </si>
  <si>
    <t>MAT-059</t>
  </si>
  <si>
    <t>Soldadura PVC</t>
  </si>
  <si>
    <t>1/4Gl</t>
  </si>
  <si>
    <t>MAT-060</t>
  </si>
  <si>
    <t>Cinta amarilla de señalización (peligro).</t>
  </si>
  <si>
    <t>MAT-061</t>
  </si>
  <si>
    <t>Arena</t>
  </si>
  <si>
    <t>MAT-062</t>
  </si>
  <si>
    <t>Tubo PVC conduit tipo pesado 1-1/2"x 3mts   (incluye transporte)</t>
  </si>
  <si>
    <t>MAT-063</t>
  </si>
  <si>
    <t>Juego de marco metálico y contra marco metálico 720x720 mm norma   condensa CS-AP274     (incluye transporte)</t>
  </si>
  <si>
    <t>MAT-064</t>
  </si>
  <si>
    <t>Ladrillo común recocido 20 x 10 x 6 cm   (incluye transporte)</t>
  </si>
  <si>
    <t>MAT-065</t>
  </si>
  <si>
    <t>Varilla 1/2" x 6m   (incluye transporte)</t>
  </si>
  <si>
    <t>MAT-066</t>
  </si>
  <si>
    <t>Gravilla  (incluye transporte)</t>
  </si>
  <si>
    <t>MAT-067</t>
  </si>
  <si>
    <t xml:space="preserve"> Juego de marco metálico y contra marco metálico 420 x 420 mm norma condesa AP280    (incluye transporte)</t>
  </si>
  <si>
    <t>MAT-068</t>
  </si>
  <si>
    <t>Conector de derivacion tipo gel calibres 6-2 / 14-8AWG    (incluye transporte)</t>
  </si>
  <si>
    <t>MAT-069</t>
  </si>
  <si>
    <t>Varilla Cooperwell ⅝” x 2,4 m    (incluye transporte)</t>
  </si>
  <si>
    <t>MAT-070</t>
  </si>
  <si>
    <t>Conector transversal de puesta tierra tipo TGC 5/8 No 2-4    (incluye transporte)</t>
  </si>
  <si>
    <t>MAT-071</t>
  </si>
  <si>
    <t>Hidrosolta x 15 Kg    (incluye transporte)</t>
  </si>
  <si>
    <t>Blsa</t>
  </si>
  <si>
    <t>MAT-072</t>
  </si>
  <si>
    <t>Interruptor automático de riel 2x20 A 220-440V 20-6 KA    (incluye transporte)</t>
  </si>
  <si>
    <t>MAT-073</t>
  </si>
  <si>
    <t>Controlador monofásico  de medida directa WM-05Y 60 Amp    (incluye transporte)</t>
  </si>
  <si>
    <t>MAT-074</t>
  </si>
  <si>
    <t>Certificación RETIE por organismo acreditado ONAC</t>
  </si>
  <si>
    <t>KVA</t>
  </si>
  <si>
    <t>MAT-075</t>
  </si>
  <si>
    <t>Certificación RETILAP por organismo acreditado ONAC</t>
  </si>
  <si>
    <t>M2</t>
  </si>
  <si>
    <t>MAT-076</t>
  </si>
  <si>
    <t>Suministro y transporte Loseta en concreto Lisa Gris, trafico peatonal 40x40x6 cn</t>
  </si>
  <si>
    <t>MAT-077</t>
  </si>
  <si>
    <t>Suministro y transporte Loseta en concreto Guia tactil o toperoll gris trafico peatonal 40x40x6 cn</t>
  </si>
  <si>
    <t>MAT-078</t>
  </si>
  <si>
    <t>Suministro y transporte Loseta en concreto Lisa Amarilla trafico peatonal 40x20x6 cn</t>
  </si>
  <si>
    <t>MAT-079</t>
  </si>
  <si>
    <t>Suministro e instalación adoquín rectangular anticado (gris y negro) (0,20*0,10*0,06) </t>
  </si>
  <si>
    <t>MAT-080</t>
  </si>
  <si>
    <t>Suministro, transporte e instalación Baldosa Mediterranea Atermica en Concreto Arquitectónico color Crema de dimensiones 40x40cm</t>
  </si>
  <si>
    <t>MAT-081</t>
  </si>
  <si>
    <t xml:space="preserve">Mosaico Ceramico Cristal Confeti color azul (29,4cm x 29,4cm e=0,44cm) acabado brillante </t>
  </si>
  <si>
    <t>MAT-082</t>
  </si>
  <si>
    <t>Bulto</t>
  </si>
  <si>
    <t>MAT-083</t>
  </si>
  <si>
    <t xml:space="preserve">Ladrillo H-10 (10 cm x 33 cm x 20 cm) (suministro y transporte) </t>
  </si>
  <si>
    <t>MAT-084</t>
  </si>
  <si>
    <t>Estuco plastico</t>
  </si>
  <si>
    <t>KG</t>
  </si>
  <si>
    <t>MAT-085</t>
  </si>
  <si>
    <t>Vinilo tipo 1</t>
  </si>
  <si>
    <t>GLN</t>
  </si>
  <si>
    <t>MAT-086</t>
  </si>
  <si>
    <t>Lija</t>
  </si>
  <si>
    <t>UND</t>
  </si>
  <si>
    <t>Sumnistro,transporteeinstalacion de división en acero inóxidable inóxidable 304 calibre 20 certificado incluye (Herrajes de ensamble, cerrojos en acero inóxidable para tráfico alto)</t>
  </si>
  <si>
    <t>MAT-087</t>
  </si>
  <si>
    <t>Ángulo  1/8 x 1-1/2 pulgada</t>
  </si>
  <si>
    <t>MAT-088</t>
  </si>
  <si>
    <t xml:space="preserve">Soldadura aws e7018 x 1/8" </t>
  </si>
  <si>
    <t>MAT-089</t>
  </si>
  <si>
    <t>Anticorrosivo gris</t>
  </si>
  <si>
    <t>Gln</t>
  </si>
  <si>
    <t>MAT-090</t>
  </si>
  <si>
    <t xml:space="preserve">Disolvente (3%) Tinner </t>
  </si>
  <si>
    <t>MAT-091</t>
  </si>
  <si>
    <t>Esmalte domestico</t>
  </si>
  <si>
    <t>MAT-092</t>
  </si>
  <si>
    <t xml:space="preserve">Bisagra </t>
  </si>
  <si>
    <t>MAT-093</t>
  </si>
  <si>
    <t>cerrojo</t>
  </si>
  <si>
    <t>MAT-094</t>
  </si>
  <si>
    <t>Griferia lavamanos de empotrar push pico empotrado tipo corona (antivandalica)</t>
  </si>
  <si>
    <t>MAT-095</t>
  </si>
  <si>
    <t>Desague sifón lavamanos-orinal tipo grival</t>
  </si>
  <si>
    <t>MAT-096</t>
  </si>
  <si>
    <t>Sanitario smart redondo (color blanco) tipo corona (incluye accesorios del tanque y funcionamiento)</t>
  </si>
  <si>
    <t>MAT-097</t>
  </si>
  <si>
    <t>Cemento blanco</t>
  </si>
  <si>
    <t>MAT-098</t>
  </si>
  <si>
    <t>Acoples para sanitario o lavamanos + Válvula de regulación</t>
  </si>
  <si>
    <t>MAT-099</t>
  </si>
  <si>
    <t>Válvula de entrada hidrostática</t>
  </si>
  <si>
    <t>MAT-100</t>
  </si>
  <si>
    <t>Suministro, transporte e instalación de mesón baño en granito natural blanco sienna (lamina granito e=2 cm) ancho 60 cm, incluye frentes de 20cm</t>
  </si>
  <si>
    <t>MAT-100-A</t>
  </si>
  <si>
    <t>Suministro, transporte e instalación de poceta en granito natural blanco sienna(lamina granito e=2 cm) L=1.2 mt</t>
  </si>
  <si>
    <t xml:space="preserve">un </t>
  </si>
  <si>
    <t>MAT-101</t>
  </si>
  <si>
    <t>Boquilla para cerámica</t>
  </si>
  <si>
    <t>MAT-102</t>
  </si>
  <si>
    <t>Cerámica pared Luni 25 x 35 cm Beige-Bone (incluye transporte)</t>
  </si>
  <si>
    <t>MAT-103</t>
  </si>
  <si>
    <t>Tablón vitrificado 30x30 cm (incluye transporte)</t>
  </si>
  <si>
    <t>MAT-104</t>
  </si>
  <si>
    <t>Cerámica piso Luni 31,5 x 31,5 cm Beige-Bone (incluye transporte)</t>
  </si>
  <si>
    <t>MAT-105</t>
  </si>
  <si>
    <t>Borde piscina mediterranea beige 33x50 cm (en Concreto arquitectonico)</t>
  </si>
  <si>
    <t>MAT-106</t>
  </si>
  <si>
    <t>Malla Electrosoldada Medidas 6x2.35m Hueco 15x15cm Diametro 4.0mm (XX-084) (inluye transporte)</t>
  </si>
  <si>
    <t>MAT-107</t>
  </si>
  <si>
    <t xml:space="preserve">concreto pigmentado (3000psi) (colores Ginger, terracotay salmon) </t>
  </si>
  <si>
    <t>MAT-108</t>
  </si>
  <si>
    <t>Tierra negra</t>
  </si>
  <si>
    <t>MAT-109</t>
  </si>
  <si>
    <t>Prado japones</t>
  </si>
  <si>
    <t>MAT-110</t>
  </si>
  <si>
    <t>Orinal petite tipo Corona (Incluye accesorios)</t>
  </si>
  <si>
    <t>MAT-111</t>
  </si>
  <si>
    <t>Antisol blanco empaque 20 kg</t>
  </si>
  <si>
    <t>MAT-112</t>
  </si>
  <si>
    <t>Grifería Pared Push 3/4" Orinal</t>
  </si>
  <si>
    <t>MAT-113</t>
  </si>
  <si>
    <t>Impermeabilizante para morteros</t>
  </si>
  <si>
    <t>MAT-114</t>
  </si>
  <si>
    <t>Teja sevillanas longitud 134x92 cm </t>
  </si>
  <si>
    <t>MAT-115</t>
  </si>
  <si>
    <t>Caballete superior sevillana</t>
  </si>
  <si>
    <t>MAT-116</t>
  </si>
  <si>
    <t>Caballete inferior sevillana</t>
  </si>
  <si>
    <t>MAT-117</t>
  </si>
  <si>
    <t>Herrajes y accesorios de fijacion teja sevillana</t>
  </si>
  <si>
    <t>gbl</t>
  </si>
  <si>
    <t>MAT-118</t>
  </si>
  <si>
    <t>Aceite inmunizante madera exterior</t>
  </si>
  <si>
    <t xml:space="preserve">gln </t>
  </si>
  <si>
    <t>MAT-119</t>
  </si>
  <si>
    <t>Accesorios de instalacion y fijacion de machimbre</t>
  </si>
  <si>
    <t>MAT-120</t>
  </si>
  <si>
    <t>Agua</t>
  </si>
  <si>
    <t>MAT-121</t>
  </si>
  <si>
    <t>Hipoclorito de sodio</t>
  </si>
  <si>
    <t>MAT-122</t>
  </si>
  <si>
    <t>Arena pareja incluye transporte</t>
  </si>
  <si>
    <t>MAT-123</t>
  </si>
  <si>
    <t>MAT-128</t>
  </si>
  <si>
    <t>Bisagra</t>
  </si>
  <si>
    <t>MAT-129</t>
  </si>
  <si>
    <t>Cerradura inafer mega supra</t>
  </si>
  <si>
    <t>MAT-130</t>
  </si>
  <si>
    <t>Esmalte para lamina</t>
  </si>
  <si>
    <t>gln</t>
  </si>
  <si>
    <t>MAT-131</t>
  </si>
  <si>
    <t>Lamina cold roled calibre 18(2*1)"</t>
  </si>
  <si>
    <t>MAT-133</t>
  </si>
  <si>
    <t>Disolvente thiner</t>
  </si>
  <si>
    <t>MAT-134</t>
  </si>
  <si>
    <t>Cerrojo media luna ventana aluminio</t>
  </si>
  <si>
    <t>MAT-135</t>
  </si>
  <si>
    <t xml:space="preserve">Empaque de caucho para vidrio ventana aluminio </t>
  </si>
  <si>
    <t>MAT-136</t>
  </si>
  <si>
    <t>Guias ventana de aluminio</t>
  </si>
  <si>
    <t>MAT-137</t>
  </si>
  <si>
    <t>Perfil aluminio cabezal</t>
  </si>
  <si>
    <t>MAT-138</t>
  </si>
  <si>
    <t>Perfil aluminio enganche</t>
  </si>
  <si>
    <t>MAT-139</t>
  </si>
  <si>
    <t>Perfil aluminio horizontal</t>
  </si>
  <si>
    <t>MAT-140</t>
  </si>
  <si>
    <t>Perfil aluminio jamba</t>
  </si>
  <si>
    <t>MAT-141</t>
  </si>
  <si>
    <t>Pefil aluminio sillar</t>
  </si>
  <si>
    <t>MAT-142</t>
  </si>
  <si>
    <t>Perfil aluminio traslape</t>
  </si>
  <si>
    <t>MAT-143</t>
  </si>
  <si>
    <t>Rodamiento ventana de aluminio</t>
  </si>
  <si>
    <t>MAT-144</t>
  </si>
  <si>
    <t>Silicona tubo 300 ml</t>
  </si>
  <si>
    <t>MAT-145</t>
  </si>
  <si>
    <t>Vidrio transparente de 5 mm</t>
  </si>
  <si>
    <t>MAT-146</t>
  </si>
  <si>
    <t>Accesorios y herrajes de fijacion de ventana</t>
  </si>
  <si>
    <t>MAT-147</t>
  </si>
  <si>
    <t>Espejo cristal e= 4 mm</t>
  </si>
  <si>
    <t>MAT-148</t>
  </si>
  <si>
    <t>Accesorios de fijacion de espejo</t>
  </si>
  <si>
    <t>MAT-149</t>
  </si>
  <si>
    <t>Transporte e instalacion de madera aserrada de Zapan con acabado cepillado, para vigueta de 4x5 cm de sección, para aplicaciones estructurales, con protección frente a agentes bióticos.</t>
  </si>
  <si>
    <t>MAT-150</t>
  </si>
  <si>
    <t>Perfil en acero 2P-152-64-3 G 60,laminados en caliente, para aplicaciones estructurales  (incluye trasnporte).</t>
  </si>
  <si>
    <t>un (6ml)</t>
  </si>
  <si>
    <t>MAT-151</t>
  </si>
  <si>
    <t>Perfil en acero P-152-64-3  G 60,laminados en caliente, para aplicaciones estructurales (incluye trasnporte).</t>
  </si>
  <si>
    <t>MAT-152</t>
  </si>
  <si>
    <t>Perfil en acero PTEC-152-152-4,5  G 60,laminados en caliente, para aplicaciones estructurales (incluye trasnporte).</t>
  </si>
  <si>
    <t>MAT-153</t>
  </si>
  <si>
    <t>Perfil en acero PTEC 203-203-5,5  G 60,laminados en caliente, para aplicaciones estructurales (incluye trasnporte)</t>
  </si>
  <si>
    <t>MAT-154</t>
  </si>
  <si>
    <t xml:space="preserve">Accesorios de fijacion con tornillos para pergola </t>
  </si>
  <si>
    <t>MAT-155</t>
  </si>
  <si>
    <t>Thinner corriente</t>
  </si>
  <si>
    <t>Gal</t>
  </si>
  <si>
    <t>MAT-156</t>
  </si>
  <si>
    <t>Acondicionador de superficies metálicas</t>
  </si>
  <si>
    <t>MAT-157</t>
  </si>
  <si>
    <t>Soldadura eléctrica 7018</t>
  </si>
  <si>
    <t>MAT-158</t>
  </si>
  <si>
    <t>Pintura triple acción para estructura metálica.</t>
  </si>
  <si>
    <t>MAT-159</t>
  </si>
  <si>
    <t>Platinas de Anclaje PL tp=9.5mm (⅜")</t>
  </si>
  <si>
    <t>MAT-160</t>
  </si>
  <si>
    <t>Perfil en acero PT 102x102x4.0 G 60,laminados en caliente, para aplicaciones estructurales (incluye trasnporte)</t>
  </si>
  <si>
    <t>Un (1,3ml)</t>
  </si>
  <si>
    <t>MAT-161</t>
  </si>
  <si>
    <t>Bisagra gato omega 3</t>
  </si>
  <si>
    <t>MAT-162</t>
  </si>
  <si>
    <t>MAT-163</t>
  </si>
  <si>
    <t>Ganchos teja eternit 55 mm</t>
  </si>
  <si>
    <t>MAT-164</t>
  </si>
  <si>
    <t>Porta candado gato simple 3</t>
  </si>
  <si>
    <t>MAT-165</t>
  </si>
  <si>
    <t>Puntilla con cabeza 2¨</t>
  </si>
  <si>
    <t>Lb</t>
  </si>
  <si>
    <t>MAT-166</t>
  </si>
  <si>
    <t xml:space="preserve">Tabla chapa 0,30 x 0,018 - 0,02 m x 2,9 m - ordinario </t>
  </si>
  <si>
    <t>MAT-167</t>
  </si>
  <si>
    <t>Teja Fibrocemento P7 No. 6</t>
  </si>
  <si>
    <t>MAT-168</t>
  </si>
  <si>
    <t>Vara de clavo Ø 6 a 8 cm (3 m) eucalipto</t>
  </si>
  <si>
    <t>MAT-169</t>
  </si>
  <si>
    <t>Pintura esmalte</t>
  </si>
  <si>
    <t>MAT-170</t>
  </si>
  <si>
    <t>Puntilla con cabeza 2.</t>
  </si>
  <si>
    <t>MAT-171</t>
  </si>
  <si>
    <t>Estaca de madera</t>
  </si>
  <si>
    <t>MAT-172</t>
  </si>
  <si>
    <t>Alambre negro # 17</t>
  </si>
  <si>
    <t>MAT-173</t>
  </si>
  <si>
    <t>Listón madera caracolí 4 cms x 3 cms x 3.00 metros</t>
  </si>
  <si>
    <t>MAT-174</t>
  </si>
  <si>
    <t>Tela verde 65 Gr/M2, 100 ML largo x 2 metros de alto</t>
  </si>
  <si>
    <t>MAT-175</t>
  </si>
  <si>
    <t>MAT-176</t>
  </si>
  <si>
    <t>Valla informativa 6.00 x 4.00 m (incluye estructura metálica, transporte e instalación)</t>
  </si>
  <si>
    <t>MAT-177</t>
  </si>
  <si>
    <t xml:space="preserve">Escalera de 4 pasos para piscina en acero inoxidable </t>
  </si>
  <si>
    <t>MAT-178</t>
  </si>
  <si>
    <t>Elementos y accesorios de fijación sobre obra de concreto</t>
  </si>
  <si>
    <t>MAT-179</t>
  </si>
  <si>
    <t>Acoples para sanitario o lavamanos + valvulo de regulación.</t>
  </si>
  <si>
    <t>MAT-180</t>
  </si>
  <si>
    <t>Desague sifon lavamanos</t>
  </si>
  <si>
    <t>MAT-181</t>
  </si>
  <si>
    <t>Lavamanos de colgar tipo aguacer blanco</t>
  </si>
  <si>
    <t>MAT-182</t>
  </si>
  <si>
    <t>Soporte lavamanos.</t>
  </si>
  <si>
    <t>MAT-183</t>
  </si>
  <si>
    <t>Rejilla anticucaracha</t>
  </si>
  <si>
    <t>MAT-184</t>
  </si>
  <si>
    <t>Suministro, transporte e instalacion de division en vidrio templado de 1x1.20m y  e=10mm, con soporte de paral tipo botella h= 1m, distanciados cada 1.20m. (Incluye accesorios, elementos de instalacion, fijación, soporte incluye dos puertas de acceso para las piscinas.)</t>
  </si>
  <si>
    <t>MAT-185</t>
  </si>
  <si>
    <t>Elementos y accesorios de fijacion sobre obra de concreto, chazos y tornillos en acero.</t>
  </si>
  <si>
    <t>MAT-186</t>
  </si>
  <si>
    <t>MAT-187</t>
  </si>
  <si>
    <t>MAT-188</t>
  </si>
  <si>
    <t>MAT-189</t>
  </si>
  <si>
    <t>MAT-190</t>
  </si>
  <si>
    <t>MAT-191</t>
  </si>
  <si>
    <t>MAT-192</t>
  </si>
  <si>
    <t>MAT-193</t>
  </si>
  <si>
    <t>MAT-194</t>
  </si>
  <si>
    <t>Viga metálica IPE 160</t>
  </si>
  <si>
    <t>MAT-195</t>
  </si>
  <si>
    <t>Tubería mecánica de acero fabricada en frío de seccion (1"x2") de 0.7mm de espesor</t>
  </si>
  <si>
    <t>MAT-196</t>
  </si>
  <si>
    <t>Resina acuosa impermeabilizante para muros (bloqueador de humedad y endurecedor de superficie) (tipoSika® Imper Mur) a 3 manos, con densidad 1.015 kg/l ± 0,02 kg/l Valor del pH 7.5 ± 1 y Viscosidad Aguja Brookfield 1, velocidad 60 rpm, ~ 3.9 mPa.s (tipo sikaimpermur)</t>
  </si>
  <si>
    <t>sikaimpermur</t>
  </si>
  <si>
    <t>MAT-197</t>
  </si>
  <si>
    <t>MAT-198</t>
  </si>
  <si>
    <t>MAT-199</t>
  </si>
  <si>
    <t>MAT-200</t>
  </si>
  <si>
    <t>Plastocrete® DM (relacion 250 g de aditivo por 50 kg de cemento)</t>
  </si>
  <si>
    <t>MAT-201</t>
  </si>
  <si>
    <t xml:space="preserve">Piedra Bolo de río para concreto ciclopeo </t>
  </si>
  <si>
    <t>MAT-202</t>
  </si>
  <si>
    <t>MAT-203</t>
  </si>
  <si>
    <t>Pernos y barra roscada de anclaje diametro 3/8" longitud=60cm acero Gr 36 con tuerca (incluye fijacion)</t>
  </si>
  <si>
    <t>MAT-205</t>
  </si>
  <si>
    <t>MAT-206</t>
  </si>
  <si>
    <t>Geomembrana HPDE 20 mils (e: 0,50mm)</t>
  </si>
  <si>
    <t>MAT-207</t>
  </si>
  <si>
    <t>Geotextil NT 1600</t>
  </si>
  <si>
    <t>MAT-208</t>
  </si>
  <si>
    <t>Cinta PVC V - 15</t>
  </si>
  <si>
    <t>MAT-209</t>
  </si>
  <si>
    <t>MAT-210</t>
  </si>
  <si>
    <t>Agua.</t>
  </si>
  <si>
    <t>MAT-211</t>
  </si>
  <si>
    <t>Arena cribada.</t>
  </si>
  <si>
    <t>MAT-212</t>
  </si>
  <si>
    <t>Agregado grueso homogeneizado de tamaño máximo 12,5 mm.</t>
  </si>
  <si>
    <t>MAT-213</t>
  </si>
  <si>
    <t>Cemento gris en sacos.</t>
  </si>
  <si>
    <t>MAT-214</t>
  </si>
  <si>
    <t>Separador homologado para cimentaciones.</t>
  </si>
  <si>
    <t>MAT-215</t>
  </si>
  <si>
    <t>Acero en barras corrugadas, Grado 60 (fy=4200 kg/cm²), de varios diámetros, según NTC 2289 y ASTM A 706.</t>
  </si>
  <si>
    <t>MAT-216</t>
  </si>
  <si>
    <t>Módulo de escalera metálica de emergencia, recta y con dos tramos rectos por planta de 3 m de altura máxima, con una anchura útil de 1.7 m, , clase A1, compuesto por: una estructura metálica de perfiles de acero S 275 JR laminado en caliente, formada por dos soportes intermedios con perfiles HEB, viga zanca con perfiles IPE y viga ménsula para soporte de la viga de meseta con perfiles HEB; peldañeado y meseta de lámina lagrimada de acero galvanizado, de 3 mm de espesor; y por una barandilla, de 1,10 m de altura, de tubo de acero laminado en frío, de 40x20x1,5 mm y 20x20x1,5 mm, colocada en todo su perímetro y en el hueco de la escalera; con preparación de superficies en grado SA21/2 según ISO 8501-1 y aplicación posterior de dos manos de imprimación con un espesor mínimo de película seca de 30 micras por mano; elaborado en taller.</t>
  </si>
  <si>
    <t>MAT-217</t>
  </si>
  <si>
    <t>Acero laminado S275JR, en perfiles laminados en caliente, piezas simples, para aplicaciones estructurales.</t>
  </si>
  <si>
    <t>MAT-218</t>
  </si>
  <si>
    <t>Imprimación de secado rápido, formulada con resinas alquídicas modificadas y fosfato de zinc.</t>
  </si>
  <si>
    <t>MAT-219</t>
  </si>
  <si>
    <t>MAT-220</t>
  </si>
  <si>
    <t>MAT-221</t>
  </si>
  <si>
    <t>MAT-222</t>
  </si>
  <si>
    <t>MAT-223</t>
  </si>
  <si>
    <t>ANALISIS DE PRECIOS UNITARIOS. APU´s</t>
  </si>
  <si>
    <t>ITEM:</t>
  </si>
  <si>
    <t>I. EQUIPOS/HERRAMIENTAS</t>
  </si>
  <si>
    <t>DESCRIPCION</t>
  </si>
  <si>
    <t>UNID.</t>
  </si>
  <si>
    <t>REND.</t>
  </si>
  <si>
    <t>VR. UNIT.</t>
  </si>
  <si>
    <t>VR. PARCIAL</t>
  </si>
  <si>
    <t>Herramienta menor</t>
  </si>
  <si>
    <t>SUBTOTAL EQUIPOS/HERRAMIENTAS</t>
  </si>
  <si>
    <t>II. MATERIALES E INSUMOS</t>
  </si>
  <si>
    <t>CANT.</t>
  </si>
  <si>
    <t>DESPERDICIO %</t>
  </si>
  <si>
    <t>SUBTOTAL DE MATERIALES</t>
  </si>
  <si>
    <t>III. TRANSPORTE</t>
  </si>
  <si>
    <t>KM.</t>
  </si>
  <si>
    <t>PRECIO/(T-KM)</t>
  </si>
  <si>
    <t>SUBTOTAL TRANSPORTE</t>
  </si>
  <si>
    <t>IV. MANO DE OBRA</t>
  </si>
  <si>
    <t>JORNAL</t>
  </si>
  <si>
    <t>%. PREST.</t>
  </si>
  <si>
    <t>P.UNIT</t>
  </si>
  <si>
    <t>RDTO.</t>
  </si>
  <si>
    <t>MO-0001</t>
  </si>
  <si>
    <t>MO-0002</t>
  </si>
  <si>
    <t>SUBTOTAL MANO DE OBRA</t>
  </si>
  <si>
    <t>TOTAL COSTO DIRECTO</t>
  </si>
  <si>
    <t>MO-0004</t>
  </si>
  <si>
    <t>Topográfo</t>
  </si>
  <si>
    <t>MO-0005</t>
  </si>
  <si>
    <t>Cadenero</t>
  </si>
  <si>
    <t>MO-001</t>
  </si>
  <si>
    <t>MO-002</t>
  </si>
  <si>
    <t>Oficial</t>
  </si>
  <si>
    <t>DIA</t>
  </si>
  <si>
    <t>Ayudante</t>
  </si>
  <si>
    <t>VALOR UNITARIO</t>
  </si>
  <si>
    <t>TR-001</t>
  </si>
  <si>
    <t>Volqueta de 8 m3 (cargue, tansporte y derecho a botadero)</t>
  </si>
  <si>
    <t>m3/Km</t>
  </si>
  <si>
    <t>NOMBRE</t>
  </si>
  <si>
    <t>UNID</t>
  </si>
  <si>
    <t>VALOR</t>
  </si>
  <si>
    <t>MO-003</t>
  </si>
  <si>
    <t>MO-004</t>
  </si>
  <si>
    <t>MO-005</t>
  </si>
  <si>
    <t>Soldador</t>
  </si>
  <si>
    <t>MO-006</t>
  </si>
  <si>
    <t xml:space="preserve">Supervisor electricista </t>
  </si>
  <si>
    <t>MO-007</t>
  </si>
  <si>
    <t>Oficial eléctrico</t>
  </si>
  <si>
    <t>MO-008</t>
  </si>
  <si>
    <t>Ayudante eléctrico</t>
  </si>
  <si>
    <t>MO-009</t>
  </si>
  <si>
    <t>Ingeniero electricista</t>
  </si>
  <si>
    <t>Suministro, transporte y colocación de vidrio cristal templado multilaminado de seguridad para piso, con espesor de 30 mm spot, pulido y brillado de composición:                                                                                                                                  
-Vidrio templado 10mm incoloro pulido y blillado spot.                             
-PVB incoloro de 1.0 micras opal.                                                                            
 -- Vidrio templado 10mm incoloro pulido y blillado spot.                                             
- PVB incoloro de 1.0 micras opal.                                                                            - Vidrio templado 10mm incoloro pulido y blillado spot.                                                                                                          -PVB incoloro de 1.0 micras opal.Incluye herrajes, accesorios de fijación, anclaje y soporte.</t>
  </si>
  <si>
    <t>Retroexcavadora sobre llantas</t>
  </si>
  <si>
    <t>Pegacor max blanco (25Kg) o similar</t>
  </si>
  <si>
    <t>Suministro, transporte e intalacion de lamina HR ALFAJOR calibre 8 (incluye anticorrosivo, pintura, soldadura, elementos de fijación y perforaciones de e=1cm /c 5cm </t>
  </si>
  <si>
    <t>MAT-224</t>
  </si>
  <si>
    <t>MAT-225</t>
  </si>
  <si>
    <t>MAT-226</t>
  </si>
  <si>
    <t>MAT-227</t>
  </si>
  <si>
    <t>MAT-228</t>
  </si>
  <si>
    <t>MAT-229</t>
  </si>
  <si>
    <t>MAT-230</t>
  </si>
  <si>
    <t>MAT-231</t>
  </si>
  <si>
    <t>MAT-232</t>
  </si>
  <si>
    <t>MAT-233</t>
  </si>
  <si>
    <t>MAT-234</t>
  </si>
  <si>
    <t>MAT-235</t>
  </si>
  <si>
    <t>MAT-236</t>
  </si>
  <si>
    <t>MAT-237</t>
  </si>
  <si>
    <t>MAT-238</t>
  </si>
  <si>
    <t>MAT-239</t>
  </si>
  <si>
    <t>MAT-240</t>
  </si>
  <si>
    <t>MAT-241</t>
  </si>
  <si>
    <t>MAT-242</t>
  </si>
  <si>
    <t>MAT-243</t>
  </si>
  <si>
    <t>MAT-244</t>
  </si>
  <si>
    <t>MAT-245</t>
  </si>
  <si>
    <t>MAT-246</t>
  </si>
  <si>
    <t>Filtro de arena de 36".</t>
  </si>
  <si>
    <t>Und.</t>
  </si>
  <si>
    <t>Válvula Multiport lateral de 2".</t>
  </si>
  <si>
    <t xml:space="preserve">Manómetro de 0 a 60 psi. </t>
  </si>
  <si>
    <t>Motobomba de 3.00 hp a 220 v.</t>
  </si>
  <si>
    <t>Desnatador de 2".</t>
  </si>
  <si>
    <t>Rejilla de fondo sin pozuelo.</t>
  </si>
  <si>
    <t>Boquilla aspiradora.</t>
  </si>
  <si>
    <t>Boquilla de inyección con base.</t>
  </si>
  <si>
    <t>Arena Sílice bulto de 50 kg.</t>
  </si>
  <si>
    <t>Registro radial de 2".</t>
  </si>
  <si>
    <t>Bomba dosificadora analógica de 5 bar y 20 l/h.</t>
  </si>
  <si>
    <t>Electrodo de Ph.</t>
  </si>
  <si>
    <t>Carro aspirador de 12 ruedas con ejes de acero.</t>
  </si>
  <si>
    <t>Mango telescópico de 6 metros.</t>
  </si>
  <si>
    <t>Nasa plástica de limpieza.</t>
  </si>
  <si>
    <t>Manguera de aspiración x 15 metros.</t>
  </si>
  <si>
    <t>Acople rápido de aspiración.</t>
  </si>
  <si>
    <t>Cepillo de nylon de 18" para algas.</t>
  </si>
  <si>
    <t>Comprobador de cloro y PH.</t>
  </si>
  <si>
    <t>Camilla de emergencia.</t>
  </si>
  <si>
    <t>Flotador salvavidas con yarda.</t>
  </si>
  <si>
    <t>Alarma de emergencia en L fija.</t>
  </si>
  <si>
    <t>Gancho salvavidas.</t>
  </si>
  <si>
    <t>Mango telescópico de 4,80 m en aluminio de alto calibre.</t>
  </si>
  <si>
    <t>Botiquín metálico de implementos, primeros auxilios.</t>
  </si>
  <si>
    <t>Filtro de arena de 26".</t>
  </si>
  <si>
    <t>Válvula Multiport lateral de 1.1/2".</t>
  </si>
  <si>
    <t>Registro radial de 1. 1/2"".</t>
  </si>
  <si>
    <t>UN</t>
  </si>
  <si>
    <t>Ladrillo Tolete</t>
  </si>
  <si>
    <t>Mortero 1:4 impermeabilizado</t>
  </si>
  <si>
    <t>Concreto 3000 psi</t>
  </si>
  <si>
    <t>Acero PDR 60</t>
  </si>
  <si>
    <t>MAT-247</t>
  </si>
  <si>
    <t>MAT-248</t>
  </si>
  <si>
    <t>MAT-249</t>
  </si>
  <si>
    <t>láminas de neopreno</t>
  </si>
  <si>
    <t>Sellante elastomerico impermeable de poliurenano</t>
  </si>
  <si>
    <t>Mezcladora de concreto (1 bulto)</t>
  </si>
  <si>
    <t>MAT-016,1</t>
  </si>
  <si>
    <t>Arena Lavada (incluye transporte)</t>
  </si>
  <si>
    <t>Triturado 3/4 (incluye transporte)</t>
  </si>
  <si>
    <t>MAT-162,1</t>
  </si>
  <si>
    <t>lt</t>
  </si>
  <si>
    <t>Lt</t>
  </si>
  <si>
    <t xml:space="preserve">Concreto 2000 PSI (f´c = 140 Kg/cm²) </t>
  </si>
  <si>
    <t>Concreto 2500 PSI (f´c = 175 Kg/cm²)</t>
  </si>
  <si>
    <t xml:space="preserve">Concreto 3000 PSI (f´c = 210 kg/cm²) </t>
  </si>
  <si>
    <t>Concreto 4000 PSI (f´c = 280 Kg/cm²)</t>
  </si>
  <si>
    <t>Concreto 5000 PSI (f´c = 350 Kg/cm²)</t>
  </si>
  <si>
    <t>ACERO DE REFUERZO Fy=60MPa</t>
  </si>
  <si>
    <t>Cizalla</t>
  </si>
  <si>
    <t>Alambre negro para amarre</t>
  </si>
  <si>
    <t>Acero de refuerzo PDR-60 (incluye transporte)</t>
  </si>
  <si>
    <t>formaleta</t>
  </si>
  <si>
    <t>Caseton en lona h=0,3 m</t>
  </si>
  <si>
    <t>Cemento gris NTC 121 (Tipo UG) (Incluye transporte).</t>
  </si>
  <si>
    <t>M2.</t>
  </si>
  <si>
    <t>ML.</t>
  </si>
  <si>
    <t>M3.</t>
  </si>
  <si>
    <t>Glb.</t>
  </si>
  <si>
    <t>Kg.</t>
  </si>
  <si>
    <t>Cartucho.</t>
  </si>
  <si>
    <t>Lt.</t>
  </si>
  <si>
    <t>Gln.</t>
  </si>
  <si>
    <t>Lb.</t>
  </si>
  <si>
    <t>Rollo.</t>
  </si>
  <si>
    <t>PRESUPUESTO DE OBRA</t>
  </si>
  <si>
    <t>REPOSICION E INSTALACION VALVULAS DE SECTORIZACION EN DIFERENTES SECTORES DEL MUNICIPIO DE PIEDECUESTA - SANTANDER.</t>
  </si>
  <si>
    <t>ITEM</t>
  </si>
  <si>
    <t>VALOR UNIT</t>
  </si>
  <si>
    <t>VALOR PARCIAL</t>
  </si>
  <si>
    <t xml:space="preserve"> </t>
  </si>
  <si>
    <t>Localización y replanteo</t>
  </si>
  <si>
    <t>Señalización preventiva</t>
  </si>
  <si>
    <t>Rotura de pavimento flexible (Incluye retiro)</t>
  </si>
  <si>
    <t>Rotura de pavimento rígido (Incluye retiro)</t>
  </si>
  <si>
    <t>SUBTOTAL</t>
  </si>
  <si>
    <t>MOVIMIENTO DE  TIERRAS</t>
  </si>
  <si>
    <t>Excavaciones en material comun y/o conglomerado sin entibados Prof=0-2,50 mts</t>
  </si>
  <si>
    <t>Relleno en material común compactado</t>
  </si>
  <si>
    <t>Acarreo y retiro de sobrantes</t>
  </si>
  <si>
    <t>CONCRETOS Y ESTRUCTURAS</t>
  </si>
  <si>
    <t>Caja para válvula placa en concreto incluye tapa en HD</t>
  </si>
  <si>
    <t>rehabilitación caja para válvula placa en concreto incluye tapa en HD</t>
  </si>
  <si>
    <t>Concreto simple f`c=2500 PSI para atraques</t>
  </si>
  <si>
    <t>SUMINISTRO E INSTALACION DE TUBERIAS Y ACCESORIOS.</t>
  </si>
  <si>
    <t>Suministro e instalación de válvula  D=4" en HD JH</t>
  </si>
  <si>
    <t>Suministro e instalación de válvula  D=2" en HD JH</t>
  </si>
  <si>
    <t>Suministro e instalación de válvula  D=3" en HD JH</t>
  </si>
  <si>
    <t>Suministro e instalación de válvula  D=6" en HD JH</t>
  </si>
  <si>
    <t>Suministro e instalación de válvula  D=8" en HD JH</t>
  </si>
  <si>
    <t>Suministro e instalación de válvula  D=10" en HD JH</t>
  </si>
  <si>
    <t>Suministro e instalación de válvula  D=12" en HD JH</t>
  </si>
  <si>
    <t xml:space="preserve">Suministro e instalación unión rápida  D=3" </t>
  </si>
  <si>
    <t xml:space="preserve">Suministro e instalación unión rápida  D=2" </t>
  </si>
  <si>
    <t xml:space="preserve">Suministro e instalación unión rápida  D=4" </t>
  </si>
  <si>
    <t xml:space="preserve">Suministro e instalación unión rápida  D=6" </t>
  </si>
  <si>
    <t xml:space="preserve">Suministro e instalación unión rápida  D=8" </t>
  </si>
  <si>
    <t xml:space="preserve">Suministro e instalación unión rápida  D=10" </t>
  </si>
  <si>
    <t xml:space="preserve">Suministro e instalación unión rápida  D=12" </t>
  </si>
  <si>
    <t xml:space="preserve">Suministro e instalación tubería pvc presión rde 21 d= 4" </t>
  </si>
  <si>
    <t>Suministro e instalacion tuberia pvc presion rde 21 d= 2"</t>
  </si>
  <si>
    <t>Suministro e instalacion tuberia pvc presion rde 21 d= 3"</t>
  </si>
  <si>
    <t>Suministro e instalacion tuberia pvc presion rde 21 d= 6"</t>
  </si>
  <si>
    <t>Suministro e instalación tubería pvc presión rde 21 d= 8"</t>
  </si>
  <si>
    <t>Suministro e instalación tubería pvc presión rde 21 d= 10"</t>
  </si>
  <si>
    <t>Suministro e instalación tubería pvc presión rde 21 d= 12"</t>
  </si>
  <si>
    <t>VARIOS</t>
  </si>
  <si>
    <t>Limpieza general</t>
  </si>
  <si>
    <t>Levantamiento y digitalización de planos</t>
  </si>
  <si>
    <t>GB</t>
  </si>
  <si>
    <t>ADMINISTRACION (28%)</t>
  </si>
  <si>
    <t>IMPREVISTOS (2%)</t>
  </si>
  <si>
    <t>UTILIDAD (5%)</t>
  </si>
  <si>
    <t>TOTAL</t>
  </si>
  <si>
    <t>MAT-250</t>
  </si>
  <si>
    <t>MAT-251</t>
  </si>
  <si>
    <t>MAT-252</t>
  </si>
  <si>
    <t>MAT-253</t>
  </si>
  <si>
    <t>MAT-254</t>
  </si>
  <si>
    <t>MAT-255</t>
  </si>
  <si>
    <t>MAT-256</t>
  </si>
  <si>
    <t>MAT-257</t>
  </si>
  <si>
    <t>MAT-258</t>
  </si>
  <si>
    <t>MAT-259</t>
  </si>
  <si>
    <t>Colombina de señalización vial</t>
  </si>
  <si>
    <t>Cinta de peligro Rollo 500 m</t>
  </si>
  <si>
    <t>Compresor 120 HP con martillo</t>
  </si>
  <si>
    <t>Cortadora con motor diesel</t>
  </si>
  <si>
    <t>Tapa en HD</t>
  </si>
  <si>
    <t>un</t>
  </si>
  <si>
    <t xml:space="preserve">Concreto 2500 PSI </t>
  </si>
  <si>
    <t>MAT-260</t>
  </si>
  <si>
    <t>MAT-261</t>
  </si>
  <si>
    <t>MAT-262</t>
  </si>
  <si>
    <t>MAT-263</t>
  </si>
  <si>
    <t>MAT-264</t>
  </si>
  <si>
    <t>válvula  D=4" en HD JH</t>
  </si>
  <si>
    <t>válvula  D=2" en HD JH</t>
  </si>
  <si>
    <t>válvula  D=6" en HD JH</t>
  </si>
  <si>
    <t>válvula  D=3" en HD JH</t>
  </si>
  <si>
    <t>válvula  D=8" en HD JH</t>
  </si>
  <si>
    <t>válvula  D=10" en HD JH</t>
  </si>
  <si>
    <t>válvula  D=12" en HD JH</t>
  </si>
  <si>
    <t>MAT-265</t>
  </si>
  <si>
    <t>MAT-266</t>
  </si>
  <si>
    <t>MAT-267</t>
  </si>
  <si>
    <t>MAT-268</t>
  </si>
  <si>
    <t>MAT-269</t>
  </si>
  <si>
    <t>MAT-270</t>
  </si>
  <si>
    <t>MAT-271</t>
  </si>
  <si>
    <t>Lubricante tarro</t>
  </si>
  <si>
    <t>MAT-272</t>
  </si>
  <si>
    <t>MAT-273</t>
  </si>
  <si>
    <t>MAT-274</t>
  </si>
  <si>
    <t>MAT-275</t>
  </si>
  <si>
    <t>MAT-276</t>
  </si>
  <si>
    <t>MAT-277</t>
  </si>
  <si>
    <t>MAT-278</t>
  </si>
  <si>
    <t>Limpiador PVC 760 grms</t>
  </si>
  <si>
    <t>Soldadura PVC 1/4 galon</t>
  </si>
  <si>
    <t xml:space="preserve">unión rápida  D=3" </t>
  </si>
  <si>
    <t xml:space="preserve">unión rápida  D=2" </t>
  </si>
  <si>
    <t xml:space="preserve">unión rápida  D=4" </t>
  </si>
  <si>
    <t xml:space="preserve">unión rápida  D=6" </t>
  </si>
  <si>
    <t xml:space="preserve">unión rápida  D=8" </t>
  </si>
  <si>
    <t xml:space="preserve">unión rápida  D=10" </t>
  </si>
  <si>
    <t xml:space="preserve">unión rápida  D=12" </t>
  </si>
  <si>
    <t>MAT-279</t>
  </si>
  <si>
    <t>MAT-280</t>
  </si>
  <si>
    <t>MAT-281</t>
  </si>
  <si>
    <t xml:space="preserve">tubería pvc presión rde 21 d= 4" </t>
  </si>
  <si>
    <t>tuberia pvc presion rde 21 d= 2"</t>
  </si>
  <si>
    <t>tuberia pvc presion rde 21 d= 3"</t>
  </si>
  <si>
    <t>tuberia pvc presion rde 21 d= 6"</t>
  </si>
  <si>
    <t>tubería pvc presión rde 21 d= 8"</t>
  </si>
  <si>
    <t>tubería pvc presión rde 21 d= 10"</t>
  </si>
  <si>
    <t>tubería pvc presión rde 21 d= 12"</t>
  </si>
  <si>
    <t>MAT-282</t>
  </si>
  <si>
    <t>Implementos de limpieza</t>
  </si>
  <si>
    <t>Diferencial</t>
  </si>
  <si>
    <t>CONDICIONES ORIGINALES</t>
  </si>
  <si>
    <t>CANTIDADES ACTA DE PAGO 1</t>
  </si>
  <si>
    <t>ACTA 1 25 VALVULAS</t>
  </si>
  <si>
    <t>Código:  GPI-MC.CDR01-103.F17</t>
  </si>
  <si>
    <t>Versión: 1.0</t>
  </si>
  <si>
    <t xml:space="preserve">PIEDECUESTANA DE SERVICIOS PÚBLICOS ESP </t>
  </si>
  <si>
    <t>Página 1 de 2</t>
  </si>
  <si>
    <t xml:space="preserve">VALOR CONTRATO PRINCIPAL: </t>
  </si>
  <si>
    <t>VALOR CONTRATO ADICIONAL:</t>
  </si>
  <si>
    <t>VALOR TOTAL DEL CONTRATO</t>
  </si>
  <si>
    <t>CONDICIONES ACTUALIZADAS (ACTA DE MAYORES Y MENORES CANTIDADES DE OBRA No. 01)</t>
  </si>
  <si>
    <t>CANTIDADES EJECUTADAS                                                      (ACUMULADAS)</t>
  </si>
  <si>
    <t>CANT</t>
  </si>
  <si>
    <t>PRECIO UNITARIO</t>
  </si>
  <si>
    <t>ITEMS NO PREVISTOS</t>
  </si>
  <si>
    <t>Demolición pozo de inspección h&lt;=2,5</t>
  </si>
  <si>
    <t>Construcción de pozo de inspección</t>
  </si>
  <si>
    <t>Demolición muro en mamposteria</t>
  </si>
  <si>
    <t>Muro en mamposteria L=35m h=0,35m (friso 3:1 por las tres caras)</t>
  </si>
  <si>
    <t>Construcción viga de cimentacion 0,25x,025m con varilla 3/8" y flejes cada 0,30m, concreto 3.000psi</t>
  </si>
  <si>
    <t>Construcción columnetas 0,30x,025m con varilla 3/8" y flejes cada 0,15m, concreto 3.000psi</t>
  </si>
  <si>
    <t>Sumidero trasversal 2,0m (Incluye charmela y tuberia novafort 12")</t>
  </si>
  <si>
    <t>Anden en adoquin</t>
  </si>
  <si>
    <t>COSTO DIRECTO</t>
  </si>
  <si>
    <t xml:space="preserve">ADMINISTRACION </t>
  </si>
  <si>
    <t xml:space="preserve">IMPREVISTOS </t>
  </si>
  <si>
    <t>UTILIDAD</t>
  </si>
  <si>
    <t>VALOR TOTAL</t>
  </si>
  <si>
    <t>ANTICIPO RECIBIDO</t>
  </si>
  <si>
    <t>MENOS AMORTIZACION DEL ANTICIPO</t>
  </si>
  <si>
    <t>SALDO AMORTIZACION DEL ANTICIPO</t>
  </si>
  <si>
    <t>VALOR NETO A PAGAR  PRESENTE ACTA</t>
  </si>
  <si>
    <t>AMORTIZACION ANTICIPO</t>
  </si>
  <si>
    <t>VALOR A PAGAR PRESENTE ACTA</t>
  </si>
  <si>
    <t xml:space="preserve"> GUSTAVO GOMEZ ACEVEDO</t>
  </si>
  <si>
    <t>VoBo. ABELARDO SARMIENTO VALERO</t>
  </si>
  <si>
    <t>Contratista</t>
  </si>
  <si>
    <t>Supervisor</t>
  </si>
  <si>
    <t>jefe Oficina Planeación Institucional</t>
  </si>
  <si>
    <t xml:space="preserve">PORCENTAJE DE EJECUCIÓN:     </t>
  </si>
  <si>
    <t>CONSORCIO VALVULAS PIEDECUESTA</t>
  </si>
  <si>
    <t>R.L EDGAR ROBERTO MACHUCA RANGEL</t>
  </si>
  <si>
    <t>Página 1 de 1</t>
  </si>
  <si>
    <t>CONTRATO DE OBRA No150 DE 2019</t>
  </si>
  <si>
    <t>OBJETO: "REPOSICION E INSTALACION VALVULAS DE SECTORIZACION EN DIFERENTES SECTORES DEL MUNICIPIO DE PIEDECUESTA - SANTANDER."</t>
  </si>
  <si>
    <t>MEMORIAS DE CALCULO</t>
  </si>
  <si>
    <t>OBRA</t>
  </si>
  <si>
    <t>PERIODO</t>
  </si>
  <si>
    <t>ACTIVIDAD</t>
  </si>
  <si>
    <t>LONGITUD</t>
  </si>
  <si>
    <t>ANCHO</t>
  </si>
  <si>
    <t>ALTO =H</t>
  </si>
  <si>
    <t>PORCENTAJE</t>
  </si>
  <si>
    <t>CANTIDAD</t>
  </si>
  <si>
    <t>OBSERVACIONES</t>
  </si>
  <si>
    <t>CANTIDAD TOTAL ACTIVIDAD:</t>
  </si>
  <si>
    <t>"REPOSICION E INSTALACION VALVULAS DE SECTORIZACION EN DIFERENTES SECTORES DEL MUNICIPIO DE PIEDECUESTA - SANTANDER."</t>
  </si>
  <si>
    <t>-</t>
  </si>
  <si>
    <t>julio</t>
  </si>
  <si>
    <t>octubre</t>
  </si>
  <si>
    <t>AÑO 2019</t>
  </si>
  <si>
    <r>
      <t xml:space="preserve">viaje volqueta 6m </t>
    </r>
    <r>
      <rPr>
        <b/>
        <sz val="12"/>
        <color theme="1"/>
        <rFont val="Calibri"/>
        <family val="2"/>
      </rPr>
      <t>³</t>
    </r>
  </si>
  <si>
    <t>CARRERA 4 CON CALLE 1A</t>
  </si>
  <si>
    <t>UNIÓN RÁPIDA DE 3"</t>
  </si>
  <si>
    <t>UNIÓN RÁPIDA DE 2"</t>
  </si>
  <si>
    <t>UNIÓN RÁPIDA DE 4"</t>
  </si>
  <si>
    <t>UNIÓN RÁPIDA DE 6"</t>
  </si>
  <si>
    <t>UNIÓN RÁPIDA DE 8"</t>
  </si>
  <si>
    <t>UNIÓN RÁPIDA DE 12"</t>
  </si>
  <si>
    <t>ASEO</t>
  </si>
  <si>
    <t>ATRAQUES</t>
  </si>
  <si>
    <t>CANTIDADES EJECUTADAS                                                   (ACTA PARCIAL No. 1)</t>
  </si>
  <si>
    <t>CANTIDADES EJECUTADAS                                                   (PRESENTE ACTA PARCIAL No. 2)</t>
  </si>
  <si>
    <t>ANEXO No. 1 AL ACTA DE PAGO 2  DEL CONTRATO DE OBRA No.150-2019</t>
  </si>
  <si>
    <t>MAYORES MENORES</t>
  </si>
  <si>
    <t>Desmonte de válvula  D=4" en HD JH</t>
  </si>
  <si>
    <t>Desmonte de válvula  D=2" en HD JH</t>
  </si>
  <si>
    <t>Desmonte de válvula  D=3" en HD JH</t>
  </si>
  <si>
    <t>Desmonte de válvula  D=6" en HD JH</t>
  </si>
  <si>
    <t>Desmonte de válvula  D=8" en HD JH</t>
  </si>
  <si>
    <t>Desmonte de válvula  D=10" en HD JH</t>
  </si>
  <si>
    <t>Desmonte de válvula  D=12" en HD JH</t>
  </si>
  <si>
    <t>CANTIDADES FINALES PROYECCION</t>
  </si>
  <si>
    <t>ANEXO ACTA No. 02 DEL CONTRATO DE OBRA No.150-2019</t>
  </si>
  <si>
    <t>ACTA DE MAYORES Y MENORES CANTIDADES  DEL CONTRATO DE OBRA No.150-2019</t>
  </si>
  <si>
    <t>Jefe Oficina Planeación Institucional</t>
  </si>
  <si>
    <t>MAT-NP-283</t>
  </si>
  <si>
    <t xml:space="preserve"> Unión universal HD D=6" R1R2</t>
  </si>
  <si>
    <t>Suministro e instalación unión universal  HD D=6" R1R2</t>
  </si>
  <si>
    <t>Suministro e instalación unión universal  HD D=8" R1R2</t>
  </si>
  <si>
    <t xml:space="preserve"> Unión universal HD D=8" R1R2</t>
  </si>
  <si>
    <t>MAT-NP-284</t>
  </si>
  <si>
    <t>noviembre</t>
  </si>
  <si>
    <t>CONJUNTO ABIERTO LA CANDELARIA</t>
  </si>
  <si>
    <t>CARRERA 16B CON CALLE 6</t>
  </si>
  <si>
    <t>ENTRADA VIA GUATIGUARÁ TORO SENTADO</t>
  </si>
  <si>
    <t xml:space="preserve">CARRERA 0W </t>
  </si>
  <si>
    <t>CALLE 18</t>
  </si>
  <si>
    <t>AUTOPISTA BUCARAMANGA BOGOTÁ CON CALLE 6</t>
  </si>
  <si>
    <t>CARRERA 19 CON CALLE 5N</t>
  </si>
  <si>
    <t>CARRERA 15 CON CALLE 7AN</t>
  </si>
  <si>
    <t>CALLE 5N QUINTA GRANADA</t>
  </si>
  <si>
    <t>PASEO DEL PUENTE</t>
  </si>
  <si>
    <t>CARRERA 5C PASEO DEL PUENTE</t>
  </si>
  <si>
    <t>CARRERA 5B PASEO DEL PUENTE</t>
  </si>
  <si>
    <t>SENA GUATIGUARA</t>
  </si>
  <si>
    <t>PATINODROMO TRANSVERSAL VILLA CONCHA</t>
  </si>
  <si>
    <t>CABECERA DEL LLANO</t>
  </si>
  <si>
    <t>QUINTA GRANADA</t>
  </si>
  <si>
    <t>SAN RAFAEL</t>
  </si>
  <si>
    <t>CARRERA 0W REFUGIO</t>
  </si>
  <si>
    <t>CALLE 1B PASEO DEL PUENTE</t>
  </si>
  <si>
    <t>CANTIDADES EJECUTADAS                                                    (ACTA PARCIAL No. 2)</t>
  </si>
  <si>
    <t>CONDICIONES ACTUALIZADAS (ACTA DE MAYORES Y MENORES CANTIDADES DE OBRA No. 02)</t>
  </si>
  <si>
    <t>Apique profundidad &lt; = 1,5 m incluye rotura y reposición de pavimento</t>
  </si>
  <si>
    <t>ACTA DE MAYORES Y MENORES CANTIDADES No. 02  DEL CONTRATO DE OBRA No.150-2019</t>
  </si>
  <si>
    <t>AUTOPISTA CON CALLE 6</t>
  </si>
  <si>
    <t>BOSQUES DE ARANJUEZ</t>
  </si>
  <si>
    <t>MOLINO DEL CAMPO</t>
  </si>
  <si>
    <t>SECTOR GUATIGUARA</t>
  </si>
  <si>
    <t>SECTOR REUGIO</t>
  </si>
  <si>
    <t>TRANSVERSAL VILLA CONCHA</t>
  </si>
  <si>
    <t>CALLE 6 CARRERA 16A</t>
  </si>
  <si>
    <t>Desmonte de válvula</t>
  </si>
  <si>
    <t>Union universal HD D=6" R1R2</t>
  </si>
  <si>
    <t>Apique</t>
  </si>
  <si>
    <t>Sector Guatiguara</t>
  </si>
  <si>
    <t>Sector Refugio</t>
  </si>
  <si>
    <t>Apique profundidad &lt; = 1,5 m incluye excavación y relleno</t>
  </si>
  <si>
    <t xml:space="preserve">VoBo. </t>
  </si>
  <si>
    <t xml:space="preserve">ACTA PARCIAL </t>
  </si>
  <si>
    <t>% AVANCE</t>
  </si>
  <si>
    <t>VALOR TOTAL DEL CONTRATO:</t>
  </si>
  <si>
    <t xml:space="preserve">OBJETO: </t>
  </si>
  <si>
    <t>PRESUPUESTO OBRAS DE ALCANTARILLADO</t>
  </si>
  <si>
    <t>CONTRATO 092-2019</t>
  </si>
  <si>
    <t>CANTIDADES EJECUTADAS ACTA PARCIAL No. 1</t>
  </si>
  <si>
    <t>CANTIDADES EJECUTADAS ACUMULADAS</t>
  </si>
  <si>
    <t xml:space="preserve">DESCRIPCION </t>
  </si>
  <si>
    <t xml:space="preserve">UNIDAD </t>
  </si>
  <si>
    <t xml:space="preserve">CANTIDAD </t>
  </si>
  <si>
    <t>Localizacion y replanteo</t>
  </si>
  <si>
    <t>Pasacalles informativo</t>
  </si>
  <si>
    <t>Señalizacion preventiva</t>
  </si>
  <si>
    <t>Aislamiento con lona Verde (Incluye madera rolliza)</t>
  </si>
  <si>
    <t xml:space="preserve">Control permanente de aguas </t>
  </si>
  <si>
    <t>Corte y rotura de Pavimento rígido</t>
  </si>
  <si>
    <t>Rotura de andenes en concreto e=10 cm (incluye retiro de escombros)</t>
  </si>
  <si>
    <t>MOVIMIENTO DE TIERRAS</t>
  </si>
  <si>
    <t>Excavacion  en tierra con entibados de 0.0 a 2.50 metros de profundidad</t>
  </si>
  <si>
    <t>Suministro y compactacion  de rellenos en material seleccionado</t>
  </si>
  <si>
    <t>Suministro y compactacion  de relleno granular cimentacion de  tuberia</t>
  </si>
  <si>
    <t>Suministro, conformacion y compactacion de base granular. E=0,20 mt</t>
  </si>
  <si>
    <t>INSTALACION DE TUBERIAS</t>
  </si>
  <si>
    <t>Sum. e instalación de tuberia PVC D=315 mm tipo Fort</t>
  </si>
  <si>
    <t>ESTRUCTURAS</t>
  </si>
  <si>
    <t>Reparación de andén e=0.10m en concreto</t>
  </si>
  <si>
    <t>Reparación de verjas y antejardin</t>
  </si>
  <si>
    <t>Suministro y colocación de acero de refuerzo fy= 4200 kg/cm2</t>
  </si>
  <si>
    <t>Construcción pozo de inspección h&lt;=2.5 m (incluye anillo en concreto, acero y mamposteria)</t>
  </si>
  <si>
    <t>Suministro y colocación de pavimento rígido</t>
  </si>
  <si>
    <t>Conexiones domiciliarias longitud menor o igual a 6.00 mts (caja de inspección completa y conexiones en 6")</t>
  </si>
  <si>
    <t>Reparación de pozos de inspección</t>
  </si>
  <si>
    <t>Limpieza General</t>
  </si>
  <si>
    <t>ENSAYOS DE LABORATORIO</t>
  </si>
  <si>
    <t>Proctor modificado</t>
  </si>
  <si>
    <t>Densidad de Campo</t>
  </si>
  <si>
    <t>Ensayo compresión cilindro de concreto</t>
  </si>
  <si>
    <t>ADMINISTRACION</t>
  </si>
  <si>
    <t>IMPREVISTOS</t>
  </si>
  <si>
    <t xml:space="preserve">SUB TOTAL 1                                  </t>
  </si>
  <si>
    <t>PRESUPUESTO OBRAS DE ACUEDUCTO</t>
  </si>
  <si>
    <t>Replanteo y medición de obra</t>
  </si>
  <si>
    <t>Demolición de andenes</t>
  </si>
  <si>
    <t>Rotura de pavimento en concreto (incluye corte y retiro)</t>
  </si>
  <si>
    <t>Señalización Preventiva</t>
  </si>
  <si>
    <t>Demolición y reconstrucción de caja válvula</t>
  </si>
  <si>
    <t>Excavación en tierra y/o conglomerado</t>
  </si>
  <si>
    <t>Conformación y compactación de relleno con material común</t>
  </si>
  <si>
    <t>Suministro, conformación y compactación de relleno con material seleccionado</t>
  </si>
  <si>
    <t>Suministro, conformación y compactación de base granular.</t>
  </si>
  <si>
    <t>Suministro e Instalación de arena para cimentación de tubería PVC  para acueducto</t>
  </si>
  <si>
    <t>Retiro y acarreo de material sobrante (incluye botadero)</t>
  </si>
  <si>
    <t xml:space="preserve">SUBTOTAL </t>
  </si>
  <si>
    <t>Suministro y colocación concreto 3000 psi</t>
  </si>
  <si>
    <t>Reparación de andén e= 0.10 m en concreto (incluye dilataciones)</t>
  </si>
  <si>
    <t>Caja válvula en mampostería, placa en concreto y tapa registro en HF</t>
  </si>
  <si>
    <t>Suministro e Instalación accesorio Tee H.D. D=3" JH</t>
  </si>
  <si>
    <t xml:space="preserve">Suministro e instalación unión rapida D=3" </t>
  </si>
  <si>
    <t>Suministro e instalación tubería PVC U.M. RDE 21 D=3"</t>
  </si>
  <si>
    <t>Conexión domiciliaria acueducto PVC RDE 9 T.P. D=1/2" L&lt;=6,00 mts (incluye caja domiciliaria y tapa emblema pds)</t>
  </si>
  <si>
    <t>OBRAS VARIAS</t>
  </si>
  <si>
    <t>Prueba Hidráulica (Incluye accesorios)</t>
  </si>
  <si>
    <t>Demarcación vial</t>
  </si>
  <si>
    <t>Levantamiento y digitalizacion de planos</t>
  </si>
  <si>
    <t>TOTAL COSTOS DIRECTOS</t>
  </si>
  <si>
    <t>SUB TOTAL 2</t>
  </si>
  <si>
    <t>COSTO TOTAL OBRAS DE ALCANTARILLADO Y ACUEDUCTO= 1 + 2</t>
  </si>
  <si>
    <t>ANEXO No. 1  AL ACTA DE RECIBO  No. XXX  DEL CONTRATO DE OBRA No.XXX</t>
  </si>
  <si>
    <t>GPI-SG.CDR01-103.F25</t>
  </si>
  <si>
    <t>Pagina 1 de 1</t>
  </si>
  <si>
    <t>Pagina 1 de 4</t>
  </si>
  <si>
    <t>Entidad contratante</t>
  </si>
  <si>
    <t>EMPRESA MUNICIPAL DE DE SERVICIOS PUBLICOS DOMICILIARIOS DE PIEDECUESTA E.S.P. - PIEDECUESTANA DE SERVICIOS PUBLICOS</t>
  </si>
  <si>
    <t>CONDICIONES INICIALES</t>
  </si>
  <si>
    <t>MAYORES</t>
  </si>
  <si>
    <t>MENORES</t>
  </si>
  <si>
    <t>CANTIDADES ACTUALIZADAS</t>
  </si>
  <si>
    <t>ÍTEM</t>
  </si>
  <si>
    <t xml:space="preserve">             CONCEPTO</t>
  </si>
  <si>
    <t>UND.</t>
  </si>
  <si>
    <t>VALOR  PARCIAL</t>
  </si>
  <si>
    <t>1</t>
  </si>
  <si>
    <t>CONSTRUCCIÓN CAFETERÍA PLANTA</t>
  </si>
  <si>
    <t>1.1</t>
  </si>
  <si>
    <t>Mampostería Confinada muro H-10, incluye zapatas y columnas de muros.</t>
  </si>
  <si>
    <t>1.2</t>
  </si>
  <si>
    <t>Suministro y aplicación de friso o pañete e=2 cm</t>
  </si>
  <si>
    <t>1.3</t>
  </si>
  <si>
    <t>Suministro e instalación puertas y/o ventanas metálicas, incluye marco, vidrios, pintura y chapas</t>
  </si>
  <si>
    <t>1.4</t>
  </si>
  <si>
    <t>Suministro e Instalación de placa en Concreto 2500 PSI e=10 cm (inc refuerzo)</t>
  </si>
  <si>
    <t>1.5</t>
  </si>
  <si>
    <t>Suministro e instalación de cerámica porcelanato o similar.</t>
  </si>
  <si>
    <t>1.6</t>
  </si>
  <si>
    <t>Suministro e instalación de guarda escoba en cerámica porcelanato o similar.</t>
  </si>
  <si>
    <t>1.7</t>
  </si>
  <si>
    <t>Suministro e Instalación de Lavaplatos y grifería (incluye tubería sanitaria y conexiones necesaria)</t>
  </si>
  <si>
    <t>1.8</t>
  </si>
  <si>
    <t>Suministro muebles de cocina, incluye: cajoneras, mesa y sillas.</t>
  </si>
  <si>
    <t>1.9</t>
  </si>
  <si>
    <t>Punto eléctrico (Incluye cableado).</t>
  </si>
  <si>
    <t>1.10</t>
  </si>
  <si>
    <t xml:space="preserve">Aplicación de estuco y pintura </t>
  </si>
  <si>
    <t>1.11</t>
  </si>
  <si>
    <t>Suministro e instalación de estructura metálica p/teja fibrocemento</t>
  </si>
  <si>
    <t>1.12</t>
  </si>
  <si>
    <t>Suministro e instalación cubierta en teja fibrocemento número 10</t>
  </si>
  <si>
    <t xml:space="preserve">Subtotal: </t>
  </si>
  <si>
    <t>2</t>
  </si>
  <si>
    <t>CONSTRUCCIÓN BATERÍA BAÑOS</t>
  </si>
  <si>
    <t>2.1</t>
  </si>
  <si>
    <t>2.2</t>
  </si>
  <si>
    <t>2.3</t>
  </si>
  <si>
    <t>2.4</t>
  </si>
  <si>
    <t>2.5</t>
  </si>
  <si>
    <t>2.6</t>
  </si>
  <si>
    <t>2.7</t>
  </si>
  <si>
    <t>Suministro e Instalación de Lavamanos (incluye tubería sanitaria y conexiones necesaria)</t>
  </si>
  <si>
    <t>2.8</t>
  </si>
  <si>
    <t>Suministro e Instalación de Sanitario de la linea institucional blanco ref; Taza o similares (incluye tubería sanitaria y conexiones necesaria)</t>
  </si>
  <si>
    <t>2.9</t>
  </si>
  <si>
    <t>2.10</t>
  </si>
  <si>
    <t>2.11</t>
  </si>
  <si>
    <t>2.12</t>
  </si>
  <si>
    <t>3</t>
  </si>
  <si>
    <t>CONSTRUCCIÓN GARITA VIGILANCIA</t>
  </si>
  <si>
    <t>3.1</t>
  </si>
  <si>
    <t>3.2</t>
  </si>
  <si>
    <t>3.3</t>
  </si>
  <si>
    <t>3.4</t>
  </si>
  <si>
    <t>3.5</t>
  </si>
  <si>
    <t>3.6</t>
  </si>
  <si>
    <t>3.7</t>
  </si>
  <si>
    <t>3.8</t>
  </si>
  <si>
    <t>3.9</t>
  </si>
  <si>
    <t>3.10</t>
  </si>
  <si>
    <t>3.11</t>
  </si>
  <si>
    <t>3.12</t>
  </si>
  <si>
    <t>4</t>
  </si>
  <si>
    <t>CONSTRUCCIÓN CERRAMIENTO PERIMETRAL</t>
  </si>
  <si>
    <t>4.1</t>
  </si>
  <si>
    <t>4.2</t>
  </si>
  <si>
    <t>4.3</t>
  </si>
  <si>
    <t>Cerramiento malla eslabonada c. 10 inc. Angulo</t>
  </si>
  <si>
    <t>5</t>
  </si>
  <si>
    <t xml:space="preserve">MANTENIMIENTO LOCATIVO, TANQUES, BOMBAS Y TUBERÍA </t>
  </si>
  <si>
    <t>5.1</t>
  </si>
  <si>
    <t>Pintura (tanques  - Tubería - Estructura Metalica en general)</t>
  </si>
  <si>
    <t>5.2</t>
  </si>
  <si>
    <t>Suministro e instalación tubería  PVC 3" 2" 1/2"</t>
  </si>
  <si>
    <t>5.3</t>
  </si>
  <si>
    <t>Mantenimiento de bombas.</t>
  </si>
  <si>
    <t>5.4</t>
  </si>
  <si>
    <t>Mantenimiento de tablero de control.</t>
  </si>
  <si>
    <t>5,5</t>
  </si>
  <si>
    <t>Resane y pintura (muros existentes)</t>
  </si>
  <si>
    <t>5,6</t>
  </si>
  <si>
    <t>Suministro de teja traslucida</t>
  </si>
  <si>
    <t>N.P 01</t>
  </si>
  <si>
    <t>Suministro e instalación de porton en reja metálica (cuarto motores)</t>
  </si>
  <si>
    <t>N.P 02</t>
  </si>
  <si>
    <t>Suministro e instalación de concertina</t>
  </si>
  <si>
    <t>N.P 03</t>
  </si>
  <si>
    <t>Viga áerea en concreto 3000 psi</t>
  </si>
  <si>
    <t>Subtotal:</t>
  </si>
  <si>
    <t xml:space="preserve">TOTAL COSTOS DIRECTOS: </t>
  </si>
  <si>
    <t>ADMINISTRACIÓN :</t>
  </si>
  <si>
    <t>IMPREVISTOS :</t>
  </si>
  <si>
    <t>UTILIDADES :</t>
  </si>
  <si>
    <t>IVA SOBRE LA UTILIDAD</t>
  </si>
  <si>
    <t xml:space="preserve">COSTO TOTAL: </t>
  </si>
  <si>
    <t>VALOR TOTAL CONTRATO</t>
  </si>
  <si>
    <t>VALOR ADICIONAL</t>
  </si>
  <si>
    <t>GERENTE</t>
  </si>
  <si>
    <t>EMPRESA PIEDECUESTANA DE SERVICIOS PUBLICOS</t>
  </si>
  <si>
    <t>CONTRATISTA</t>
  </si>
  <si>
    <t>EMPRESA PIEDECUESTANA DE SERVICIOS PÚBLICOS</t>
  </si>
  <si>
    <t>ACTA DE MAYORES Y MENORES DE CANTIDADES DE OBRA</t>
  </si>
  <si>
    <t>“OBJETO XXXXXXXXXXX”.</t>
  </si>
  <si>
    <t>ACTA No. XX DEL CONTRATO DE OBRA No. XX</t>
  </si>
  <si>
    <t>CONTRATISTA.
NIT XXXXXXXX
R/L XXXXXXXX 
C.C. XXXXXX  de XXXXX</t>
  </si>
  <si>
    <t>VALOR CONTRATO PRINCIPAL</t>
  </si>
  <si>
    <t>VALOR CONTRATO ADICIONAL</t>
  </si>
  <si>
    <t>PORCENTAJE DE EJECUCIÓN</t>
  </si>
  <si>
    <t>CARGO</t>
  </si>
  <si>
    <t>ENTIDAD</t>
  </si>
  <si>
    <t>FREDY JOHANY ZAMBRANO BECERRA</t>
  </si>
  <si>
    <t>CANTIDADES EJECUTADAS                                                    (ACTA PARCIAL No. xx)</t>
  </si>
  <si>
    <t>ACTA DE PAGO</t>
  </si>
  <si>
    <t>ACTA DE PAGO No. XX DEL CONTRATO DE OBRA No. XX</t>
  </si>
  <si>
    <t>ENTIDAD CONTRATANTE</t>
  </si>
  <si>
    <t>Código: GPI-SG.CDR01-210.F37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</si>
</sst>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00_-;\-&quot;$&quot;* #,##0.00_-;_-&quot;$&quot;* &quot;-&quot;??_-;_-@_-"/>
    <numFmt numFmtId="165" formatCode="_(&quot;$&quot;\ * #,##0.00_);_(&quot;$&quot;\ * \(#,##0.00\);_(&quot;$&quot;\ * &quot;-&quot;??_);_(@_)"/>
    <numFmt numFmtId="166" formatCode="_(* #,##0.00_);_(* \(#,##0.00\);_(* &quot;-&quot;??_);_(@_)"/>
    <numFmt numFmtId="167" formatCode="_-* #,##0.00\ &quot;€&quot;_-;\-* #,##0.00\ &quot;€&quot;_-;_-* &quot;-&quot;??\ &quot;€&quot;_-;_-@_-"/>
    <numFmt numFmtId="168" formatCode="General_)"/>
    <numFmt numFmtId="169" formatCode="&quot;$&quot;\ #,##0.00"/>
    <numFmt numFmtId="170" formatCode="0.00_)"/>
    <numFmt numFmtId="171" formatCode="&quot;$&quot;#,##0.00"/>
    <numFmt numFmtId="172" formatCode="&quot;$&quot;\ #,##0"/>
    <numFmt numFmtId="173" formatCode="_ * #,##0.00_ ;_ * \-#,##0.00_ ;_ * &quot;-&quot;??_ ;_ @_ "/>
    <numFmt numFmtId="174" formatCode="_-* #,##0.00\ _D_M_-;\-* #,##0.00\ _D_M_-;_-* &quot;-&quot;??\ _D_M_-;_-@_-"/>
    <numFmt numFmtId="175" formatCode="0.0"/>
    <numFmt numFmtId="176" formatCode="_(* #,##0\ &quot;pta&quot;_);_(* \(#,##0\ &quot;pta&quot;\);_(* &quot;-&quot;??\ &quot;pta&quot;_);_(@_)"/>
    <numFmt numFmtId="177" formatCode="_ [$€-2]\ * #,##0.00_ ;_ [$€-2]\ * \-#,##0.00_ ;_ [$€-2]\ * &quot;-&quot;??_ "/>
    <numFmt numFmtId="178" formatCode="_(&quot;$&quot;\ * #,##0_);_(&quot;$&quot;\ * \(#,##0\);_(&quot;$&quot;\ * &quot;-&quot;??_);_(@_)"/>
    <numFmt numFmtId="179" formatCode="0.000"/>
    <numFmt numFmtId="180" formatCode="_([$$-240A]\ * #,##0.0_);_([$$-240A]\ * \(#,##0.0\);_([$$-240A]\ * &quot;-&quot;??_);_(@_)"/>
    <numFmt numFmtId="181" formatCode="_-[$$-409]* #,##0.00_ ;_-[$$-409]* \-#,##0.00\ ;_-[$$-409]* &quot;-&quot;??_ ;_-@_ "/>
    <numFmt numFmtId="182" formatCode="0.0000"/>
    <numFmt numFmtId="183" formatCode="_-* #,##0.00_-;\-* #,##0.00_-;_-* &quot;-&quot;_-;_-@_-"/>
    <numFmt numFmtId="184" formatCode="_([$$-240A]\ * #,##0_);_([$$-240A]\ * \(#,##0\);_([$$-240A]\ * &quot;-&quot;??_);_(@_)"/>
    <numFmt numFmtId="185" formatCode="_([$$-240A]\ * #,##0.00_);_([$$-240A]\ * \(#,##0.00\);_([$$-240A]\ * &quot;-&quot;??_);_(@_)"/>
    <numFmt numFmtId="186" formatCode="[$$-240A]\ #,##0"/>
    <numFmt numFmtId="187" formatCode="_(&quot;$&quot;* #,##0.00_);_(&quot;$&quot;* \(#,##0.00\);_(&quot;$&quot;* &quot;-&quot;??_);_(@_)"/>
    <numFmt numFmtId="188" formatCode="[$$-240A]\ #,##0.00"/>
    <numFmt numFmtId="189" formatCode="_-* #,##0.00\ _€_-;\-* #,##0.00\ _€_-;_-* &quot;-&quot;??\ _€_-;_-@_-"/>
    <numFmt numFmtId="190" formatCode="_-[$$-240A]\ * #,##0.00_-;\-[$$-240A]\ * #,##0.00_-;_-[$$-240A]\ * &quot;-&quot;??_-;_-@_-"/>
    <numFmt numFmtId="191" formatCode="0.00000000"/>
    <numFmt numFmtId="192" formatCode="_(* #,##0.0_);_(* \(#,##0.0\);_(* &quot;-&quot;??_);_(@_)"/>
    <numFmt numFmtId="193" formatCode="#,##0.0"/>
  </numFmts>
  <fonts count="76" x14ac:knownFonts="1">
    <font>
      <sz val="11"/>
      <color theme="1"/>
      <name val="Calibri"/>
      <family val="2"/>
      <scheme val="minor"/>
    </font>
    <font>
      <sz val="11"/>
      <color theme="1"/>
      <name val="Calibri"/>
      <family val="2"/>
      <scheme val="minor"/>
    </font>
    <font>
      <sz val="10"/>
      <color indexed="8"/>
      <name val="Arial"/>
      <family val="2"/>
    </font>
    <font>
      <sz val="10"/>
      <name val="Arial"/>
      <family val="2"/>
    </font>
    <font>
      <b/>
      <sz val="10"/>
      <name val="Arial"/>
      <family val="2"/>
    </font>
    <font>
      <sz val="10"/>
      <color indexed="8"/>
      <name val="MS Sans Serif"/>
      <family val="2"/>
    </font>
    <font>
      <sz val="8"/>
      <name val="Courier"/>
      <family val="3"/>
    </font>
    <font>
      <sz val="10"/>
      <color theme="1"/>
      <name val="Arial Narrow"/>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sz val="8"/>
      <color indexed="8"/>
      <name val="Times New Roman"/>
      <family val="1"/>
    </font>
    <font>
      <b/>
      <sz val="11"/>
      <name val="Arial Narrow"/>
      <family val="2"/>
    </font>
    <font>
      <sz val="12"/>
      <name val="Arial Narrow"/>
      <family val="2"/>
    </font>
    <font>
      <sz val="8"/>
      <color theme="1"/>
      <name val="Arial Narrow"/>
      <family val="2"/>
    </font>
    <font>
      <b/>
      <sz val="12"/>
      <name val="Arial Narrow"/>
      <family val="2"/>
    </font>
    <font>
      <sz val="11"/>
      <color theme="1"/>
      <name val="Arial Narrow"/>
      <family val="2"/>
    </font>
    <font>
      <b/>
      <sz val="10"/>
      <name val="Arial"/>
      <family val="2"/>
    </font>
    <font>
      <sz val="10"/>
      <name val="Arial"/>
      <family val="2"/>
    </font>
    <font>
      <b/>
      <sz val="10"/>
      <color rgb="FFFF0000"/>
      <name val="Arial"/>
      <family val="2"/>
    </font>
    <font>
      <sz val="10"/>
      <color theme="1"/>
      <name val="Arial"/>
      <family val="2"/>
    </font>
    <font>
      <b/>
      <sz val="10"/>
      <color theme="1"/>
      <name val="Arial"/>
      <family val="2"/>
    </font>
    <font>
      <sz val="11"/>
      <name val="Arial Narrow"/>
      <family val="2"/>
    </font>
    <font>
      <b/>
      <i/>
      <sz val="10"/>
      <color theme="1"/>
      <name val="Cambria"/>
      <family val="1"/>
    </font>
    <font>
      <i/>
      <sz val="10"/>
      <color theme="1"/>
      <name val="Cambria"/>
      <family val="1"/>
    </font>
    <font>
      <i/>
      <sz val="10"/>
      <color rgb="FFFF0000"/>
      <name val="Cambria"/>
      <family val="1"/>
    </font>
    <font>
      <b/>
      <sz val="9"/>
      <name val="Arial"/>
      <family val="2"/>
    </font>
    <font>
      <sz val="9"/>
      <name val="Arial"/>
      <family val="2"/>
    </font>
    <font>
      <b/>
      <sz val="9"/>
      <name val="Calibri"/>
      <family val="2"/>
    </font>
    <font>
      <b/>
      <sz val="12"/>
      <name val="Arial"/>
      <family val="2"/>
    </font>
    <font>
      <b/>
      <sz val="9"/>
      <color theme="1"/>
      <name val="Arial"/>
      <family val="2"/>
    </font>
    <font>
      <sz val="9"/>
      <color theme="1"/>
      <name val="Arial"/>
      <family val="2"/>
    </font>
    <font>
      <sz val="10"/>
      <name val="Calibri"/>
      <family val="2"/>
    </font>
    <font>
      <sz val="9"/>
      <color theme="1"/>
      <name val="Calibri"/>
      <family val="2"/>
    </font>
    <font>
      <sz val="12"/>
      <color theme="1"/>
      <name val="Calibri"/>
      <family val="2"/>
      <scheme val="minor"/>
    </font>
    <font>
      <b/>
      <sz val="12"/>
      <color theme="1"/>
      <name val="Calibri"/>
      <family val="2"/>
      <scheme val="minor"/>
    </font>
    <font>
      <b/>
      <sz val="12"/>
      <color theme="1"/>
      <name val="Arial"/>
      <family val="2"/>
    </font>
    <font>
      <b/>
      <sz val="12"/>
      <color indexed="8"/>
      <name val="Arial"/>
      <family val="2"/>
    </font>
    <font>
      <sz val="14"/>
      <color indexed="8"/>
      <name val="Arial"/>
      <family val="2"/>
    </font>
    <font>
      <sz val="12"/>
      <color indexed="8"/>
      <name val="Arial"/>
      <family val="2"/>
    </font>
    <font>
      <sz val="12"/>
      <color theme="1"/>
      <name val="Arial"/>
      <family val="2"/>
    </font>
    <font>
      <b/>
      <sz val="12"/>
      <color rgb="FF000000"/>
      <name val="Arial"/>
      <family val="2"/>
    </font>
    <font>
      <sz val="12"/>
      <name val="Arial"/>
      <family val="2"/>
    </font>
    <font>
      <sz val="10"/>
      <name val="Calibri"/>
      <family val="2"/>
      <scheme val="minor"/>
    </font>
    <font>
      <b/>
      <sz val="12"/>
      <color theme="1"/>
      <name val="Calibri"/>
      <family val="2"/>
    </font>
    <font>
      <sz val="9"/>
      <color rgb="FFFF0000"/>
      <name val="Calibri"/>
      <family val="2"/>
    </font>
    <font>
      <sz val="9"/>
      <color rgb="FFFF0000"/>
      <name val="Arial"/>
      <family val="2"/>
    </font>
    <font>
      <b/>
      <sz val="9"/>
      <color rgb="FFFF0000"/>
      <name val="Arial"/>
      <family val="2"/>
    </font>
    <font>
      <sz val="9"/>
      <color indexed="81"/>
      <name val="Tahoma"/>
      <family val="2"/>
    </font>
    <font>
      <b/>
      <sz val="9"/>
      <color indexed="81"/>
      <name val="Tahoma"/>
      <family val="2"/>
    </font>
    <font>
      <sz val="10"/>
      <color rgb="FFFF0000"/>
      <name val="Arial"/>
      <family val="2"/>
    </font>
    <font>
      <sz val="9"/>
      <name val="Calibri"/>
      <family val="2"/>
    </font>
    <font>
      <sz val="12"/>
      <color rgb="FF00B050"/>
      <name val="Calibri"/>
      <family val="2"/>
      <scheme val="minor"/>
    </font>
    <font>
      <sz val="12"/>
      <name val="Calibri"/>
      <family val="2"/>
      <scheme val="minor"/>
    </font>
    <font>
      <sz val="12"/>
      <color rgb="FFFF0000"/>
      <name val="Calibri"/>
      <family val="2"/>
      <scheme val="minor"/>
    </font>
    <font>
      <sz val="11"/>
      <name val="Arial"/>
      <family val="2"/>
    </font>
    <font>
      <sz val="11"/>
      <color theme="1"/>
      <name val="Arial"/>
      <family val="2"/>
    </font>
    <font>
      <b/>
      <sz val="11"/>
      <name val="Arial"/>
      <family val="2"/>
    </font>
    <font>
      <b/>
      <sz val="11"/>
      <color indexed="8"/>
      <name val="Arial"/>
      <family val="2"/>
    </font>
    <font>
      <b/>
      <sz val="11"/>
      <color theme="1"/>
      <name val="Arial"/>
      <family val="2"/>
    </font>
    <font>
      <sz val="9"/>
      <color indexed="81"/>
      <name val="Symbol"/>
      <family val="1"/>
      <charset val="2"/>
    </font>
    <font>
      <sz val="9"/>
      <color indexed="81"/>
      <name val="Calibri"/>
      <family val="2"/>
    </font>
  </fonts>
  <fills count="33">
    <fill>
      <patternFill patternType="none"/>
    </fill>
    <fill>
      <patternFill patternType="gray125"/>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rgb="FF00B050"/>
        <bgColor indexed="64"/>
      </patternFill>
    </fill>
    <fill>
      <patternFill patternType="solid">
        <fgColor rgb="FFFF0000"/>
        <bgColor indexed="64"/>
      </patternFill>
    </fill>
    <fill>
      <patternFill patternType="solid">
        <fgColor theme="6" tint="0.79998168889431442"/>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style="thin">
        <color auto="1"/>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bottom style="thin">
        <color auto="1"/>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style="medium">
        <color indexed="64"/>
      </bottom>
      <diagonal/>
    </border>
    <border>
      <left/>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s>
  <cellStyleXfs count="100">
    <xf numFmtId="0" fontId="0" fillId="0" borderId="0"/>
    <xf numFmtId="165" fontId="1" fillId="0" borderId="0" applyFont="0" applyFill="0" applyBorder="0" applyAlignment="0" applyProtection="0"/>
    <xf numFmtId="43" fontId="1" fillId="0" borderId="0" applyFont="0" applyFill="0" applyBorder="0" applyAlignment="0" applyProtection="0"/>
    <xf numFmtId="167" fontId="3" fillId="0" borderId="0" applyFont="0" applyFill="0" applyBorder="0" applyAlignment="0" applyProtection="0"/>
    <xf numFmtId="165" fontId="1" fillId="0" borderId="0" applyFont="0" applyFill="0" applyBorder="0" applyAlignment="0" applyProtection="0"/>
    <xf numFmtId="3" fontId="3" fillId="0" borderId="0" applyNumberFormat="0" applyFont="0" applyBorder="0" applyAlignment="0" applyProtection="0"/>
    <xf numFmtId="0" fontId="3" fillId="0" borderId="0"/>
    <xf numFmtId="0" fontId="3" fillId="0" borderId="0">
      <alignment wrapText="1"/>
    </xf>
    <xf numFmtId="0" fontId="3" fillId="0" borderId="0">
      <alignment wrapText="1"/>
    </xf>
    <xf numFmtId="0" fontId="3" fillId="0" borderId="0"/>
    <xf numFmtId="0" fontId="5" fillId="0" borderId="0"/>
    <xf numFmtId="0" fontId="1" fillId="0" borderId="0"/>
    <xf numFmtId="0" fontId="3" fillId="0" borderId="0"/>
    <xf numFmtId="168" fontId="6" fillId="0" borderId="0"/>
    <xf numFmtId="0" fontId="3" fillId="0" borderId="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9" borderId="0" applyNumberFormat="0" applyBorder="0" applyAlignment="0" applyProtection="0"/>
    <xf numFmtId="0" fontId="8" fillId="12" borderId="0" applyNumberFormat="0" applyBorder="0" applyAlignment="0" applyProtection="0"/>
    <xf numFmtId="0" fontId="9" fillId="13"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10" fillId="5" borderId="0" applyNumberFormat="0" applyBorder="0" applyAlignment="0" applyProtection="0"/>
    <xf numFmtId="0" fontId="11" fillId="17" borderId="12" applyNumberFormat="0" applyAlignment="0" applyProtection="0"/>
    <xf numFmtId="0" fontId="12" fillId="18" borderId="13" applyNumberFormat="0" applyAlignment="0" applyProtection="0"/>
    <xf numFmtId="0" fontId="13" fillId="0" borderId="14" applyNumberFormat="0" applyFill="0" applyAlignment="0" applyProtection="0"/>
    <xf numFmtId="0" fontId="3" fillId="0" borderId="0">
      <alignment horizontal="center"/>
    </xf>
    <xf numFmtId="0" fontId="14" fillId="0" borderId="0" applyNumberFormat="0" applyFill="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22" borderId="0" applyNumberFormat="0" applyBorder="0" applyAlignment="0" applyProtection="0"/>
    <xf numFmtId="0" fontId="15" fillId="8" borderId="12" applyNumberFormat="0" applyAlignment="0" applyProtection="0"/>
    <xf numFmtId="177" fontId="3" fillId="0" borderId="0" applyFont="0" applyFill="0" applyBorder="0" applyAlignment="0" applyProtection="0"/>
    <xf numFmtId="0" fontId="16" fillId="4" borderId="0" applyNumberFormat="0" applyBorder="0" applyAlignment="0" applyProtection="0"/>
    <xf numFmtId="174" fontId="3" fillId="0" borderId="0" applyFont="0" applyFill="0" applyBorder="0" applyAlignment="0" applyProtection="0"/>
    <xf numFmtId="165" fontId="3" fillId="0" borderId="0" applyFont="0" applyFill="0" applyBorder="0" applyAlignment="0" applyProtection="0"/>
    <xf numFmtId="43" fontId="3" fillId="0" borderId="0" applyFont="0" applyFill="0" applyBorder="0" applyAlignment="0" applyProtection="0"/>
    <xf numFmtId="173" fontId="3" fillId="0" borderId="0" applyFont="0" applyFill="0" applyBorder="0" applyAlignment="0" applyProtection="0"/>
    <xf numFmtId="166" fontId="25" fillId="0" borderId="0" applyFont="0" applyFill="0" applyBorder="0" applyAlignment="0" applyProtection="0"/>
    <xf numFmtId="169" fontId="3" fillId="0" borderId="0" applyFont="0" applyFill="0" applyBorder="0" applyAlignment="0" applyProtection="0"/>
    <xf numFmtId="164" fontId="3" fillId="0" borderId="0" applyFont="0" applyFill="0" applyBorder="0" applyAlignment="0" applyProtection="0"/>
    <xf numFmtId="172" fontId="25" fillId="0" borderId="0" applyFont="0" applyFill="0" applyBorder="0" applyAlignment="0" applyProtection="0"/>
    <xf numFmtId="172" fontId="25" fillId="0" borderId="0" applyFont="0" applyFill="0" applyBorder="0" applyAlignment="0" applyProtection="0"/>
    <xf numFmtId="167" fontId="1" fillId="0" borderId="0" applyFont="0" applyFill="0" applyBorder="0" applyAlignment="0" applyProtection="0"/>
    <xf numFmtId="174" fontId="3" fillId="0" borderId="0" applyFont="0" applyFill="0" applyBorder="0" applyAlignment="0" applyProtection="0"/>
    <xf numFmtId="0" fontId="17" fillId="23" borderId="0" applyNumberFormat="0" applyBorder="0" applyAlignment="0" applyProtection="0"/>
    <xf numFmtId="0" fontId="1" fillId="0" borderId="0"/>
    <xf numFmtId="0" fontId="3" fillId="0" borderId="0"/>
    <xf numFmtId="0" fontId="2" fillId="0" borderId="0"/>
    <xf numFmtId="0" fontId="1" fillId="0" borderId="0"/>
    <xf numFmtId="0" fontId="2" fillId="0" borderId="0"/>
    <xf numFmtId="0" fontId="3" fillId="24" borderId="15"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0" fontId="18" fillId="17" borderId="16"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17" applyNumberFormat="0" applyFill="0" applyAlignment="0" applyProtection="0"/>
    <xf numFmtId="0" fontId="23" fillId="0" borderId="18" applyNumberFormat="0" applyFill="0" applyAlignment="0" applyProtection="0"/>
    <xf numFmtId="0" fontId="14" fillId="0" borderId="19" applyNumberFormat="0" applyFill="0" applyAlignment="0" applyProtection="0"/>
    <xf numFmtId="0" fontId="24" fillId="0" borderId="20" applyNumberFormat="0" applyFill="0" applyAlignment="0" applyProtection="0"/>
    <xf numFmtId="176"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89" fontId="3" fillId="0" borderId="0" applyFont="0" applyFill="0" applyBorder="0" applyAlignment="0" applyProtection="0"/>
    <xf numFmtId="167" fontId="3" fillId="0" borderId="0" applyFont="0" applyFill="0" applyBorder="0" applyAlignment="0" applyProtection="0"/>
    <xf numFmtId="0" fontId="48" fillId="0" borderId="0"/>
    <xf numFmtId="43" fontId="1" fillId="0" borderId="0" applyFont="0" applyFill="0" applyBorder="0" applyAlignment="0" applyProtection="0"/>
    <xf numFmtId="166" fontId="1" fillId="0" borderId="0" applyFont="0" applyFill="0" applyBorder="0" applyAlignment="0" applyProtection="0"/>
    <xf numFmtId="165" fontId="3" fillId="0" borderId="0" applyFill="0" applyBorder="0" applyAlignment="0" applyProtection="0"/>
    <xf numFmtId="42" fontId="1" fillId="0" borderId="0" applyFont="0" applyFill="0" applyBorder="0" applyAlignment="0" applyProtection="0"/>
  </cellStyleXfs>
  <cellXfs count="1131">
    <xf numFmtId="0" fontId="0" fillId="0" borderId="0" xfId="0"/>
    <xf numFmtId="168" fontId="4" fillId="0" borderId="0" xfId="13" applyFont="1" applyAlignment="1">
      <alignment horizontal="center"/>
    </xf>
    <xf numFmtId="170" fontId="4" fillId="0" borderId="0" xfId="13" applyNumberFormat="1" applyFont="1" applyAlignment="1">
      <alignment horizontal="center"/>
    </xf>
    <xf numFmtId="49" fontId="3" fillId="0" borderId="0" xfId="13" applyNumberFormat="1" applyFont="1"/>
    <xf numFmtId="168" fontId="3" fillId="0" borderId="0" xfId="13" applyFont="1" applyAlignment="1">
      <alignment horizontal="left"/>
    </xf>
    <xf numFmtId="168" fontId="3" fillId="0" borderId="0" xfId="13" applyFont="1" applyAlignment="1">
      <alignment horizontal="center"/>
    </xf>
    <xf numFmtId="178" fontId="3" fillId="2" borderId="0" xfId="1" applyNumberFormat="1" applyFont="1" applyFill="1"/>
    <xf numFmtId="178" fontId="3" fillId="0" borderId="0" xfId="1" applyNumberFormat="1" applyFont="1"/>
    <xf numFmtId="49" fontId="7" fillId="0" borderId="5" xfId="0" applyNumberFormat="1" applyFont="1" applyBorder="1" applyAlignment="1">
      <alignment vertical="center" wrapText="1"/>
    </xf>
    <xf numFmtId="2" fontId="7" fillId="0" borderId="1" xfId="0" applyNumberFormat="1" applyFont="1" applyBorder="1" applyAlignment="1">
      <alignment horizontal="center" vertical="center" wrapText="1"/>
    </xf>
    <xf numFmtId="0" fontId="7" fillId="0" borderId="5" xfId="0" applyFont="1" applyBorder="1" applyAlignment="1">
      <alignment vertical="center" wrapText="1"/>
    </xf>
    <xf numFmtId="0" fontId="7" fillId="0" borderId="7" xfId="0" applyFont="1" applyBorder="1" applyAlignment="1">
      <alignment vertical="center" wrapText="1"/>
    </xf>
    <xf numFmtId="0" fontId="26" fillId="0" borderId="0" xfId="0" applyFont="1" applyAlignment="1">
      <alignment horizontal="center" vertical="center" wrapText="1"/>
    </xf>
    <xf numFmtId="171" fontId="26" fillId="0" borderId="0" xfId="0" applyNumberFormat="1" applyFont="1" applyAlignment="1">
      <alignment horizontal="center" vertical="center" wrapText="1"/>
    </xf>
    <xf numFmtId="171" fontId="0" fillId="0" borderId="0" xfId="0" applyNumberFormat="1"/>
    <xf numFmtId="165" fontId="0" fillId="0" borderId="0" xfId="1" applyFont="1"/>
    <xf numFmtId="165" fontId="0" fillId="0" borderId="0" xfId="0" applyNumberFormat="1"/>
    <xf numFmtId="0" fontId="7" fillId="0" borderId="1" xfId="0" applyFont="1" applyBorder="1" applyAlignment="1">
      <alignment vertical="center" wrapText="1"/>
    </xf>
    <xf numFmtId="165" fontId="7" fillId="0" borderId="1" xfId="1" applyFont="1" applyBorder="1" applyAlignment="1">
      <alignment vertical="center" wrapText="1"/>
    </xf>
    <xf numFmtId="178" fontId="0" fillId="0" borderId="0" xfId="1" applyNumberFormat="1" applyFont="1"/>
    <xf numFmtId="168" fontId="4" fillId="0" borderId="0" xfId="13" applyFont="1" applyAlignment="1">
      <alignment horizontal="center" vertical="center"/>
    </xf>
    <xf numFmtId="0" fontId="0" fillId="0" borderId="0" xfId="0" applyAlignment="1">
      <alignment horizontal="center" vertical="center"/>
    </xf>
    <xf numFmtId="171" fontId="0" fillId="0" borderId="0" xfId="0" applyNumberFormat="1" applyAlignment="1">
      <alignment horizontal="center" vertical="center"/>
    </xf>
    <xf numFmtId="0" fontId="27" fillId="0" borderId="0" xfId="14" applyFont="1" applyAlignment="1">
      <alignment horizontal="center" vertical="center"/>
    </xf>
    <xf numFmtId="0" fontId="27" fillId="0" borderId="0" xfId="14" applyFont="1" applyAlignment="1">
      <alignment vertical="center" wrapText="1"/>
    </xf>
    <xf numFmtId="165" fontId="27" fillId="0" borderId="0" xfId="1" applyFont="1" applyAlignment="1">
      <alignment horizontal="right" vertical="center"/>
    </xf>
    <xf numFmtId="172" fontId="27" fillId="0" borderId="0" xfId="14" applyNumberFormat="1" applyFont="1" applyAlignment="1">
      <alignment vertical="center" wrapText="1"/>
    </xf>
    <xf numFmtId="180" fontId="27" fillId="25" borderId="1" xfId="5" applyNumberFormat="1" applyFont="1" applyFill="1" applyBorder="1" applyAlignment="1">
      <alignment horizontal="center" vertical="center"/>
    </xf>
    <xf numFmtId="180" fontId="27" fillId="25" borderId="1" xfId="5" applyNumberFormat="1" applyFont="1" applyFill="1" applyBorder="1" applyAlignment="1">
      <alignment horizontal="left" vertical="center"/>
    </xf>
    <xf numFmtId="0" fontId="28" fillId="0" borderId="0" xfId="0" applyFont="1" applyAlignment="1">
      <alignment horizontal="center" vertical="center"/>
    </xf>
    <xf numFmtId="165" fontId="28" fillId="0" borderId="0" xfId="1" applyFont="1" applyAlignment="1">
      <alignment vertical="center"/>
    </xf>
    <xf numFmtId="0" fontId="29" fillId="0" borderId="0" xfId="0" applyFont="1" applyAlignment="1">
      <alignment horizontal="center" vertical="center"/>
    </xf>
    <xf numFmtId="0" fontId="29" fillId="0" borderId="0" xfId="0" applyFont="1" applyAlignment="1">
      <alignment horizontal="center" vertical="center" wrapText="1"/>
    </xf>
    <xf numFmtId="165" fontId="29" fillId="0" borderId="0" xfId="1" applyFont="1" applyAlignment="1">
      <alignment horizontal="center" vertical="center" wrapText="1"/>
    </xf>
    <xf numFmtId="0" fontId="27" fillId="0" borderId="0" xfId="0" applyFont="1" applyAlignment="1">
      <alignment horizontal="center" vertical="center"/>
    </xf>
    <xf numFmtId="0" fontId="27" fillId="0" borderId="0" xfId="0" applyFont="1" applyAlignment="1">
      <alignment horizontal="left" vertical="center" wrapText="1"/>
    </xf>
    <xf numFmtId="165" fontId="27" fillId="0" borderId="0" xfId="1" applyFont="1" applyAlignment="1">
      <alignment vertical="center" wrapText="1"/>
    </xf>
    <xf numFmtId="165" fontId="27" fillId="0" borderId="0" xfId="1" applyFont="1" applyAlignment="1">
      <alignment horizontal="center" vertical="center" wrapText="1"/>
    </xf>
    <xf numFmtId="165" fontId="27" fillId="0" borderId="0" xfId="1" applyFont="1" applyAlignment="1">
      <alignment vertical="center"/>
    </xf>
    <xf numFmtId="0" fontId="27" fillId="0" borderId="0" xfId="0" applyFont="1" applyAlignment="1">
      <alignment horizontal="center" vertical="center" wrapText="1"/>
    </xf>
    <xf numFmtId="0" fontId="27" fillId="0" borderId="0" xfId="0" applyFont="1" applyAlignment="1">
      <alignment vertical="center"/>
    </xf>
    <xf numFmtId="0" fontId="27" fillId="0" borderId="0" xfId="0" applyFont="1" applyAlignment="1">
      <alignment vertical="center" wrapText="1"/>
    </xf>
    <xf numFmtId="165" fontId="27" fillId="0" borderId="0" xfId="0" applyNumberFormat="1" applyFont="1" applyAlignment="1">
      <alignment vertical="center"/>
    </xf>
    <xf numFmtId="0" fontId="27" fillId="0" borderId="30" xfId="0" applyFont="1" applyBorder="1" applyAlignment="1">
      <alignment horizontal="center" vertical="center"/>
    </xf>
    <xf numFmtId="0" fontId="27" fillId="0" borderId="30" xfId="0" applyFont="1" applyBorder="1" applyAlignment="1">
      <alignment vertical="center" wrapText="1"/>
    </xf>
    <xf numFmtId="165" fontId="27" fillId="0" borderId="30" xfId="1" applyFont="1" applyBorder="1" applyAlignment="1">
      <alignment vertical="center"/>
    </xf>
    <xf numFmtId="165" fontId="27" fillId="0" borderId="0" xfId="1" applyFont="1" applyAlignment="1">
      <alignment horizontal="center" vertical="center"/>
    </xf>
    <xf numFmtId="0" fontId="27" fillId="26" borderId="0" xfId="0" applyFont="1" applyFill="1" applyAlignment="1">
      <alignment horizontal="center" vertical="center"/>
    </xf>
    <xf numFmtId="0" fontId="27" fillId="26" borderId="0" xfId="0" applyFont="1" applyFill="1" applyAlignment="1">
      <alignment vertical="center" wrapText="1"/>
    </xf>
    <xf numFmtId="165" fontId="27" fillId="26" borderId="0" xfId="1" applyFont="1" applyFill="1" applyAlignment="1">
      <alignment vertical="center"/>
    </xf>
    <xf numFmtId="0" fontId="27" fillId="26" borderId="0" xfId="0" applyFont="1" applyFill="1" applyAlignment="1">
      <alignment vertical="center"/>
    </xf>
    <xf numFmtId="0" fontId="30" fillId="0" borderId="0" xfId="0" applyFont="1" applyAlignment="1">
      <alignment vertical="center" wrapText="1"/>
    </xf>
    <xf numFmtId="181" fontId="27" fillId="0" borderId="0" xfId="1" applyNumberFormat="1" applyFont="1" applyAlignment="1">
      <alignment vertical="center"/>
    </xf>
    <xf numFmtId="44" fontId="27" fillId="0" borderId="0" xfId="0" applyNumberFormat="1" applyFont="1" applyAlignment="1">
      <alignment horizontal="center" vertical="center"/>
    </xf>
    <xf numFmtId="181" fontId="27" fillId="0" borderId="0" xfId="0" applyNumberFormat="1" applyFont="1" applyAlignment="1">
      <alignment vertical="center"/>
    </xf>
    <xf numFmtId="44" fontId="27" fillId="0" borderId="0" xfId="0" applyNumberFormat="1" applyFont="1" applyAlignment="1">
      <alignment vertical="center"/>
    </xf>
    <xf numFmtId="49" fontId="7" fillId="0" borderId="1" xfId="0" applyNumberFormat="1" applyFont="1" applyBorder="1" applyAlignment="1">
      <alignment vertical="center" wrapText="1"/>
    </xf>
    <xf numFmtId="0" fontId="0" fillId="0" borderId="1" xfId="0" applyBorder="1"/>
    <xf numFmtId="165" fontId="0" fillId="0" borderId="1" xfId="1" applyFont="1" applyBorder="1"/>
    <xf numFmtId="49" fontId="7" fillId="0" borderId="31" xfId="0" applyNumberFormat="1" applyFont="1" applyBorder="1" applyAlignment="1">
      <alignment vertical="center" wrapText="1"/>
    </xf>
    <xf numFmtId="165" fontId="7" fillId="0" borderId="34" xfId="1" applyFont="1" applyBorder="1" applyAlignment="1">
      <alignment vertical="center" wrapText="1"/>
    </xf>
    <xf numFmtId="0" fontId="27" fillId="0" borderId="0" xfId="0" applyFont="1" applyAlignment="1">
      <alignment wrapText="1"/>
    </xf>
    <xf numFmtId="178" fontId="36" fillId="25" borderId="1" xfId="1" applyNumberFormat="1" applyFont="1" applyFill="1" applyBorder="1" applyAlignment="1">
      <alignment horizontal="center"/>
    </xf>
    <xf numFmtId="0" fontId="36" fillId="25" borderId="1" xfId="0" applyFont="1" applyFill="1" applyBorder="1" applyAlignment="1">
      <alignment horizontal="center"/>
    </xf>
    <xf numFmtId="0" fontId="36" fillId="25" borderId="36" xfId="0" applyFont="1" applyFill="1" applyBorder="1" applyAlignment="1">
      <alignment horizontal="left"/>
    </xf>
    <xf numFmtId="0" fontId="36" fillId="25" borderId="34" xfId="0" applyFont="1" applyFill="1" applyBorder="1" applyAlignment="1">
      <alignment horizontal="center"/>
    </xf>
    <xf numFmtId="178" fontId="36" fillId="25" borderId="34" xfId="1" applyNumberFormat="1" applyFont="1" applyFill="1" applyBorder="1" applyAlignment="1">
      <alignment horizontal="center"/>
    </xf>
    <xf numFmtId="0" fontId="27" fillId="26" borderId="0" xfId="14" applyFont="1" applyFill="1" applyAlignment="1">
      <alignment vertical="center" wrapText="1"/>
    </xf>
    <xf numFmtId="181" fontId="27" fillId="26" borderId="0" xfId="1" applyNumberFormat="1" applyFont="1" applyFill="1" applyAlignment="1">
      <alignment vertical="center"/>
    </xf>
    <xf numFmtId="181" fontId="27" fillId="26" borderId="0" xfId="0" applyNumberFormat="1" applyFont="1" applyFill="1" applyAlignment="1">
      <alignment vertical="center"/>
    </xf>
    <xf numFmtId="0" fontId="31" fillId="0" borderId="2" xfId="14" applyFont="1" applyBorder="1" applyAlignment="1">
      <alignment horizontal="center" vertical="center"/>
    </xf>
    <xf numFmtId="0" fontId="31" fillId="0" borderId="6" xfId="14" applyFont="1" applyBorder="1" applyAlignment="1">
      <alignment horizontal="center" vertical="center"/>
    </xf>
    <xf numFmtId="0" fontId="31" fillId="0" borderId="5" xfId="14" applyFont="1" applyBorder="1" applyAlignment="1">
      <alignment horizontal="center" vertical="center" wrapText="1"/>
    </xf>
    <xf numFmtId="0" fontId="31" fillId="0" borderId="1" xfId="14" applyFont="1" applyBorder="1" applyAlignment="1">
      <alignment horizontal="center" vertical="center"/>
    </xf>
    <xf numFmtId="2" fontId="31" fillId="0" borderId="1" xfId="14" applyNumberFormat="1" applyFont="1" applyBorder="1" applyAlignment="1">
      <alignment horizontal="center" vertical="center"/>
    </xf>
    <xf numFmtId="49" fontId="32" fillId="0" borderId="5" xfId="14" applyNumberFormat="1" applyFont="1" applyBorder="1" applyAlignment="1">
      <alignment horizontal="center" vertical="center" wrapText="1"/>
    </xf>
    <xf numFmtId="2" fontId="32" fillId="0" borderId="1" xfId="14" applyNumberFormat="1" applyFont="1" applyBorder="1" applyAlignment="1">
      <alignment horizontal="center" vertical="center"/>
    </xf>
    <xf numFmtId="165" fontId="32" fillId="0" borderId="1" xfId="14" applyNumberFormat="1" applyFont="1" applyBorder="1" applyAlignment="1">
      <alignment horizontal="center" vertical="center"/>
    </xf>
    <xf numFmtId="165" fontId="32" fillId="0" borderId="2" xfId="14" applyNumberFormat="1" applyFont="1" applyBorder="1" applyAlignment="1">
      <alignment horizontal="center" vertical="center"/>
    </xf>
    <xf numFmtId="49" fontId="32" fillId="0" borderId="5" xfId="14" applyNumberFormat="1" applyFont="1" applyBorder="1" applyAlignment="1">
      <alignment horizontal="center" vertical="center"/>
    </xf>
    <xf numFmtId="2" fontId="32" fillId="0" borderId="1" xfId="1" applyNumberFormat="1" applyFont="1" applyFill="1" applyBorder="1" applyAlignment="1">
      <alignment horizontal="center" vertical="center"/>
    </xf>
    <xf numFmtId="165" fontId="32" fillId="0" borderId="1" xfId="1" applyFont="1" applyFill="1" applyBorder="1" applyAlignment="1">
      <alignment vertical="center"/>
    </xf>
    <xf numFmtId="165" fontId="32" fillId="0" borderId="2" xfId="1" applyFont="1" applyFill="1" applyBorder="1" applyAlignment="1">
      <alignment horizontal="right" vertical="center"/>
    </xf>
    <xf numFmtId="0" fontId="31" fillId="0" borderId="24" xfId="14" applyFont="1" applyBorder="1" applyAlignment="1">
      <alignment vertical="center"/>
    </xf>
    <xf numFmtId="165" fontId="31" fillId="0" borderId="6" xfId="1" applyFont="1" applyFill="1" applyBorder="1" applyAlignment="1">
      <alignment horizontal="right" vertical="center"/>
    </xf>
    <xf numFmtId="0" fontId="31" fillId="0" borderId="1" xfId="14" applyFont="1" applyBorder="1" applyAlignment="1">
      <alignment horizontal="center" vertical="center" wrapText="1"/>
    </xf>
    <xf numFmtId="165" fontId="32" fillId="0" borderId="1" xfId="1" applyFont="1" applyFill="1" applyBorder="1" applyAlignment="1">
      <alignment horizontal="center" vertical="center"/>
    </xf>
    <xf numFmtId="9" fontId="32" fillId="0" borderId="1" xfId="90" applyFont="1" applyFill="1" applyBorder="1" applyAlignment="1">
      <alignment horizontal="center" vertical="center" wrapText="1"/>
    </xf>
    <xf numFmtId="165" fontId="32" fillId="0" borderId="2" xfId="1" applyFont="1" applyFill="1" applyBorder="1" applyAlignment="1">
      <alignment horizontal="center" vertical="center"/>
    </xf>
    <xf numFmtId="179" fontId="32" fillId="0" borderId="1" xfId="14" applyNumberFormat="1" applyFont="1" applyBorder="1" applyAlignment="1">
      <alignment horizontal="center" vertical="center"/>
    </xf>
    <xf numFmtId="0" fontId="32" fillId="0" borderId="5" xfId="14" applyFont="1" applyBorder="1" applyAlignment="1">
      <alignment horizontal="center" vertical="center"/>
    </xf>
    <xf numFmtId="2" fontId="34" fillId="0" borderId="1" xfId="0" applyNumberFormat="1" applyFont="1" applyBorder="1" applyAlignment="1">
      <alignment horizontal="center" vertical="center" wrapText="1"/>
    </xf>
    <xf numFmtId="165" fontId="32" fillId="0" borderId="1" xfId="1" applyFont="1" applyFill="1" applyBorder="1" applyAlignment="1">
      <alignment horizontal="right" vertical="center"/>
    </xf>
    <xf numFmtId="10" fontId="34" fillId="0" borderId="1" xfId="0" applyNumberFormat="1" applyFont="1" applyBorder="1" applyAlignment="1">
      <alignment horizontal="center" vertical="center" wrapText="1"/>
    </xf>
    <xf numFmtId="0" fontId="32" fillId="0" borderId="24" xfId="14" applyFont="1" applyBorder="1" applyAlignment="1">
      <alignment vertical="center"/>
    </xf>
    <xf numFmtId="169" fontId="32" fillId="0" borderId="1" xfId="14" applyNumberFormat="1" applyFont="1" applyBorder="1" applyAlignment="1">
      <alignment vertical="center"/>
    </xf>
    <xf numFmtId="169" fontId="32" fillId="0" borderId="2" xfId="14" applyNumberFormat="1" applyFont="1" applyBorder="1" applyAlignment="1">
      <alignment horizontal="right" vertical="center"/>
    </xf>
    <xf numFmtId="0" fontId="32" fillId="0" borderId="1" xfId="14" applyFont="1" applyBorder="1" applyAlignment="1">
      <alignment horizontal="center" vertical="center"/>
    </xf>
    <xf numFmtId="169" fontId="31" fillId="0" borderId="6" xfId="14" applyNumberFormat="1" applyFont="1" applyBorder="1" applyAlignment="1">
      <alignment horizontal="right" vertical="center"/>
    </xf>
    <xf numFmtId="2" fontId="31" fillId="0" borderId="1" xfId="14" applyNumberFormat="1" applyFont="1" applyBorder="1" applyAlignment="1">
      <alignment horizontal="center" vertical="center" wrapText="1"/>
    </xf>
    <xf numFmtId="0" fontId="31" fillId="0" borderId="2" xfId="14" applyFont="1" applyBorder="1" applyAlignment="1">
      <alignment horizontal="center" vertical="center" wrapText="1"/>
    </xf>
    <xf numFmtId="169" fontId="32" fillId="0" borderId="1" xfId="14" applyNumberFormat="1" applyFont="1" applyBorder="1" applyAlignment="1">
      <alignment horizontal="right" vertical="center"/>
    </xf>
    <xf numFmtId="10" fontId="32" fillId="0" borderId="1" xfId="66" applyNumberFormat="1" applyFont="1" applyFill="1" applyBorder="1" applyAlignment="1">
      <alignment horizontal="center" vertical="center"/>
    </xf>
    <xf numFmtId="172" fontId="32" fillId="0" borderId="1" xfId="14" applyNumberFormat="1" applyFont="1" applyBorder="1" applyAlignment="1">
      <alignment horizontal="right" vertical="center"/>
    </xf>
    <xf numFmtId="0" fontId="27" fillId="27" borderId="0" xfId="0" applyFont="1" applyFill="1" applyAlignment="1">
      <alignment horizontal="center" vertical="center"/>
    </xf>
    <xf numFmtId="0" fontId="27" fillId="27" borderId="0" xfId="0" applyFont="1" applyFill="1" applyAlignment="1">
      <alignment vertical="center" wrapText="1"/>
    </xf>
    <xf numFmtId="181" fontId="27" fillId="27" borderId="0" xfId="0" applyNumberFormat="1" applyFont="1" applyFill="1" applyAlignment="1">
      <alignment vertical="center"/>
    </xf>
    <xf numFmtId="165" fontId="27" fillId="27" borderId="0" xfId="1" applyFont="1" applyFill="1" applyAlignment="1">
      <alignment vertical="center"/>
    </xf>
    <xf numFmtId="0" fontId="0" fillId="0" borderId="35" xfId="0" applyBorder="1"/>
    <xf numFmtId="2" fontId="7" fillId="0" borderId="35" xfId="0" applyNumberFormat="1" applyFont="1" applyBorder="1" applyAlignment="1">
      <alignment horizontal="center" vertical="center" wrapText="1"/>
    </xf>
    <xf numFmtId="49" fontId="31" fillId="0" borderId="5" xfId="14" applyNumberFormat="1" applyFont="1" applyBorder="1" applyAlignment="1">
      <alignment horizontal="center" vertical="center" wrapText="1"/>
    </xf>
    <xf numFmtId="2" fontId="3" fillId="0" borderId="1" xfId="14" applyNumberFormat="1" applyBorder="1" applyAlignment="1">
      <alignment horizontal="center" vertical="center"/>
    </xf>
    <xf numFmtId="49" fontId="3" fillId="0" borderId="5" xfId="14" applyNumberFormat="1" applyBorder="1" applyAlignment="1">
      <alignment horizontal="center" vertical="center"/>
    </xf>
    <xf numFmtId="0" fontId="3" fillId="0" borderId="5" xfId="14" applyBorder="1" applyAlignment="1">
      <alignment horizontal="center" vertical="center"/>
    </xf>
    <xf numFmtId="0" fontId="31" fillId="0" borderId="0" xfId="14" applyFont="1" applyAlignment="1">
      <alignment horizontal="center" vertical="center"/>
    </xf>
    <xf numFmtId="169" fontId="31" fillId="0" borderId="0" xfId="14" applyNumberFormat="1" applyFont="1" applyAlignment="1">
      <alignment horizontal="right" vertical="center"/>
    </xf>
    <xf numFmtId="0" fontId="35" fillId="0" borderId="0" xfId="0" applyFont="1" applyAlignment="1">
      <alignment vertical="center"/>
    </xf>
    <xf numFmtId="0" fontId="34" fillId="0" borderId="0" xfId="0" applyFont="1" applyAlignment="1">
      <alignment vertical="center"/>
    </xf>
    <xf numFmtId="165" fontId="34" fillId="0" borderId="0" xfId="0" applyNumberFormat="1" applyFont="1" applyAlignment="1">
      <alignment vertical="center"/>
    </xf>
    <xf numFmtId="169" fontId="34" fillId="0" borderId="0" xfId="0" applyNumberFormat="1" applyFont="1" applyAlignment="1">
      <alignment vertical="center"/>
    </xf>
    <xf numFmtId="2" fontId="31" fillId="0" borderId="11" xfId="14" applyNumberFormat="1" applyFont="1" applyBorder="1" applyAlignment="1">
      <alignment horizontal="left" vertical="center" wrapText="1"/>
    </xf>
    <xf numFmtId="0" fontId="36" fillId="25" borderId="32" xfId="0" applyFont="1" applyFill="1" applyBorder="1" applyAlignment="1">
      <alignment horizontal="left"/>
    </xf>
    <xf numFmtId="0" fontId="37" fillId="0" borderId="37" xfId="0" applyFont="1" applyBorder="1" applyAlignment="1">
      <alignment horizontal="center" vertical="center"/>
    </xf>
    <xf numFmtId="0" fontId="37" fillId="0" borderId="33" xfId="0" applyFont="1" applyBorder="1" applyAlignment="1">
      <alignment horizontal="center" vertical="center"/>
    </xf>
    <xf numFmtId="0" fontId="37" fillId="0" borderId="37" xfId="0" applyFont="1" applyBorder="1" applyAlignment="1">
      <alignment horizontal="right" vertical="center"/>
    </xf>
    <xf numFmtId="0" fontId="37" fillId="0" borderId="33" xfId="0" applyFont="1" applyBorder="1" applyAlignment="1">
      <alignment horizontal="left" vertical="center"/>
    </xf>
    <xf numFmtId="0" fontId="38" fillId="0" borderId="33" xfId="0" applyFont="1" applyBorder="1" applyAlignment="1">
      <alignment horizontal="left" vertical="center"/>
    </xf>
    <xf numFmtId="0" fontId="38" fillId="0" borderId="33" xfId="0" applyFont="1" applyBorder="1" applyAlignment="1">
      <alignment horizontal="center" vertical="center"/>
    </xf>
    <xf numFmtId="0" fontId="38" fillId="0" borderId="37" xfId="0" applyFont="1" applyBorder="1" applyAlignment="1">
      <alignment horizontal="right" vertical="center"/>
    </xf>
    <xf numFmtId="8" fontId="38" fillId="0" borderId="33" xfId="0" applyNumberFormat="1" applyFont="1" applyBorder="1" applyAlignment="1">
      <alignment horizontal="right" vertical="center"/>
    </xf>
    <xf numFmtId="0" fontId="38" fillId="0" borderId="33" xfId="0" applyFont="1" applyBorder="1" applyAlignment="1">
      <alignment horizontal="left" vertical="center" wrapText="1"/>
    </xf>
    <xf numFmtId="0" fontId="38" fillId="0" borderId="37" xfId="0" applyFont="1" applyBorder="1" applyAlignment="1">
      <alignment horizontal="left" vertical="center"/>
    </xf>
    <xf numFmtId="0" fontId="37" fillId="0" borderId="33" xfId="0" applyFont="1" applyBorder="1" applyAlignment="1">
      <alignment horizontal="right" vertical="center"/>
    </xf>
    <xf numFmtId="0" fontId="38" fillId="0" borderId="33" xfId="0" applyFont="1" applyBorder="1" applyAlignment="1">
      <alignment horizontal="right" vertical="center"/>
    </xf>
    <xf numFmtId="8" fontId="37" fillId="0" borderId="33" xfId="0" applyNumberFormat="1" applyFont="1" applyBorder="1" applyAlignment="1">
      <alignment horizontal="right" vertical="center"/>
    </xf>
    <xf numFmtId="10" fontId="38" fillId="0" borderId="33" xfId="0" applyNumberFormat="1" applyFont="1" applyBorder="1" applyAlignment="1">
      <alignment horizontal="right" vertical="center"/>
    </xf>
    <xf numFmtId="0" fontId="30" fillId="0" borderId="1" xfId="0" applyFont="1" applyBorder="1" applyAlignment="1">
      <alignment vertical="center" wrapText="1"/>
    </xf>
    <xf numFmtId="0" fontId="30" fillId="0" borderId="1" xfId="0" applyFont="1" applyBorder="1" applyAlignment="1">
      <alignment horizontal="center" vertical="center" wrapText="1"/>
    </xf>
    <xf numFmtId="2" fontId="0" fillId="0" borderId="0" xfId="0" applyNumberFormat="1"/>
    <xf numFmtId="175" fontId="32" fillId="0" borderId="1" xfId="14" applyNumberFormat="1" applyFont="1" applyBorder="1" applyAlignment="1">
      <alignment horizontal="center" vertical="center"/>
    </xf>
    <xf numFmtId="2" fontId="34" fillId="0" borderId="0" xfId="0" applyNumberFormat="1" applyFont="1" applyAlignment="1">
      <alignment vertical="center" wrapText="1"/>
    </xf>
    <xf numFmtId="2" fontId="31" fillId="0" borderId="1" xfId="14" applyNumberFormat="1" applyFont="1" applyBorder="1" applyAlignment="1">
      <alignment horizontal="left" vertical="center" wrapText="1"/>
    </xf>
    <xf numFmtId="2" fontId="31" fillId="0" borderId="0" xfId="14" applyNumberFormat="1" applyFont="1" applyAlignment="1">
      <alignment horizontal="center" vertical="center"/>
    </xf>
    <xf numFmtId="0" fontId="27" fillId="0" borderId="31" xfId="0" applyFont="1" applyBorder="1" applyAlignment="1">
      <alignment horizontal="center" vertical="center"/>
    </xf>
    <xf numFmtId="2" fontId="37" fillId="0" borderId="33" xfId="0" applyNumberFormat="1" applyFont="1" applyBorder="1" applyAlignment="1">
      <alignment horizontal="right" vertical="center"/>
    </xf>
    <xf numFmtId="169" fontId="31" fillId="0" borderId="25" xfId="14" applyNumberFormat="1" applyFont="1" applyBorder="1" applyAlignment="1">
      <alignment vertical="center"/>
    </xf>
    <xf numFmtId="169" fontId="31" fillId="0" borderId="26" xfId="14" applyNumberFormat="1" applyFont="1" applyBorder="1" applyAlignment="1">
      <alignment vertical="center"/>
    </xf>
    <xf numFmtId="49" fontId="3" fillId="0" borderId="5" xfId="14" applyNumberFormat="1" applyBorder="1" applyAlignment="1">
      <alignment horizontal="center" vertical="center" wrapText="1"/>
    </xf>
    <xf numFmtId="44" fontId="34" fillId="0" borderId="0" xfId="0" applyNumberFormat="1" applyFont="1" applyAlignment="1">
      <alignment vertical="center"/>
    </xf>
    <xf numFmtId="0" fontId="37" fillId="0" borderId="39" xfId="0" applyFont="1" applyBorder="1" applyAlignment="1">
      <alignment horizontal="right" vertical="center"/>
    </xf>
    <xf numFmtId="8" fontId="0" fillId="0" borderId="0" xfId="0" applyNumberFormat="1"/>
    <xf numFmtId="182" fontId="0" fillId="0" borderId="0" xfId="0" applyNumberFormat="1"/>
    <xf numFmtId="41" fontId="0" fillId="0" borderId="0" xfId="92" applyFont="1"/>
    <xf numFmtId="183" fontId="37" fillId="0" borderId="33" xfId="92" applyNumberFormat="1" applyFont="1" applyBorder="1" applyAlignment="1">
      <alignment horizontal="right" vertical="center"/>
    </xf>
    <xf numFmtId="10" fontId="0" fillId="0" borderId="0" xfId="90" applyNumberFormat="1" applyFont="1"/>
    <xf numFmtId="182" fontId="39" fillId="0" borderId="33" xfId="0" applyNumberFormat="1" applyFont="1" applyBorder="1" applyAlignment="1">
      <alignment horizontal="center" vertical="center"/>
    </xf>
    <xf numFmtId="182" fontId="38" fillId="0" borderId="33" xfId="0" applyNumberFormat="1" applyFont="1" applyBorder="1" applyAlignment="1">
      <alignment horizontal="center" vertical="center"/>
    </xf>
    <xf numFmtId="0" fontId="41" fillId="0" borderId="0" xfId="0" applyFont="1" applyAlignment="1">
      <alignment vertical="center"/>
    </xf>
    <xf numFmtId="184" fontId="41" fillId="0" borderId="0" xfId="0" applyNumberFormat="1" applyFont="1" applyAlignment="1">
      <alignment vertical="center"/>
    </xf>
    <xf numFmtId="0" fontId="40" fillId="28" borderId="24" xfId="0" applyFont="1" applyFill="1" applyBorder="1" applyAlignment="1">
      <alignment horizontal="center" vertical="center" wrapText="1"/>
    </xf>
    <xf numFmtId="0" fontId="40" fillId="28" borderId="11" xfId="0" applyFont="1" applyFill="1" applyBorder="1" applyAlignment="1">
      <alignment horizontal="center" vertical="center" wrapText="1"/>
    </xf>
    <xf numFmtId="0" fontId="40" fillId="28" borderId="6" xfId="0" applyFont="1" applyFill="1" applyBorder="1" applyAlignment="1">
      <alignment horizontal="center" vertical="center" wrapText="1"/>
    </xf>
    <xf numFmtId="0" fontId="44" fillId="0" borderId="21" xfId="0" applyFont="1" applyBorder="1" applyAlignment="1">
      <alignment horizontal="center" vertical="center" wrapText="1"/>
    </xf>
    <xf numFmtId="0" fontId="44" fillId="0" borderId="22" xfId="0" applyFont="1" applyBorder="1" applyAlignment="1">
      <alignment vertical="center" wrapText="1"/>
    </xf>
    <xf numFmtId="0" fontId="44" fillId="0" borderId="22" xfId="0" applyFont="1" applyBorder="1" applyAlignment="1">
      <alignment horizontal="center" vertical="center" wrapText="1"/>
    </xf>
    <xf numFmtId="186" fontId="44" fillId="0" borderId="22" xfId="0" applyNumberFormat="1" applyFont="1" applyBorder="1" applyAlignment="1">
      <alignment vertical="center" wrapText="1"/>
    </xf>
    <xf numFmtId="0" fontId="44" fillId="0" borderId="23" xfId="0" applyFont="1" applyBorder="1" applyAlignment="1">
      <alignment horizontal="center" vertical="center" wrapText="1"/>
    </xf>
    <xf numFmtId="186" fontId="44" fillId="0" borderId="23" xfId="0" applyNumberFormat="1" applyFont="1" applyBorder="1" applyAlignment="1">
      <alignment vertical="center" wrapText="1"/>
    </xf>
    <xf numFmtId="187" fontId="40" fillId="0" borderId="23" xfId="0" applyNumberFormat="1" applyFont="1" applyBorder="1" applyAlignment="1">
      <alignment horizontal="right" vertical="center" wrapText="1"/>
    </xf>
    <xf numFmtId="187" fontId="40" fillId="0" borderId="23" xfId="0" applyNumberFormat="1" applyFont="1" applyBorder="1" applyAlignment="1">
      <alignment vertical="center" wrapText="1"/>
    </xf>
    <xf numFmtId="0" fontId="40" fillId="0" borderId="0" xfId="0" applyFont="1" applyAlignment="1">
      <alignment vertical="center" wrapText="1"/>
    </xf>
    <xf numFmtId="0" fontId="45" fillId="0" borderId="5" xfId="0" applyFont="1" applyBorder="1" applyAlignment="1">
      <alignment horizontal="center" vertical="center" wrapText="1"/>
    </xf>
    <xf numFmtId="0" fontId="46" fillId="0" borderId="1" xfId="0" applyFont="1" applyBorder="1" applyAlignment="1">
      <alignment vertical="center"/>
    </xf>
    <xf numFmtId="0" fontId="47" fillId="0" borderId="1" xfId="0" applyFont="1" applyBorder="1" applyAlignment="1">
      <alignment horizontal="center"/>
    </xf>
    <xf numFmtId="188" fontId="45" fillId="0" borderId="1" xfId="0" applyNumberFormat="1" applyFont="1" applyBorder="1" applyAlignment="1">
      <alignment vertical="center" wrapText="1"/>
    </xf>
    <xf numFmtId="188" fontId="45" fillId="0" borderId="2" xfId="0" applyNumberFormat="1" applyFont="1" applyBorder="1" applyAlignment="1">
      <alignment vertical="center" wrapText="1"/>
    </xf>
    <xf numFmtId="0" fontId="41" fillId="0" borderId="0" xfId="0" applyFont="1" applyAlignment="1">
      <alignment vertical="center" wrapText="1"/>
    </xf>
    <xf numFmtId="0" fontId="46" fillId="0" borderId="1" xfId="0" applyFont="1" applyBorder="1" applyAlignment="1">
      <alignment vertical="center" wrapText="1"/>
    </xf>
    <xf numFmtId="0" fontId="44" fillId="0" borderId="5" xfId="0" applyFont="1" applyBorder="1" applyAlignment="1">
      <alignment horizontal="center" vertical="center" wrapText="1"/>
    </xf>
    <xf numFmtId="0" fontId="44" fillId="0" borderId="1" xfId="0" applyFont="1" applyBorder="1" applyAlignment="1">
      <alignment vertical="center" wrapText="1"/>
    </xf>
    <xf numFmtId="188" fontId="44" fillId="0" borderId="2" xfId="0" applyNumberFormat="1" applyFont="1" applyBorder="1" applyAlignment="1">
      <alignment vertical="center" wrapText="1"/>
    </xf>
    <xf numFmtId="0" fontId="40" fillId="0" borderId="0" xfId="0" applyFont="1" applyAlignment="1">
      <alignment vertical="center"/>
    </xf>
    <xf numFmtId="0" fontId="44" fillId="0" borderId="2" xfId="0" applyFont="1" applyBorder="1" applyAlignment="1">
      <alignment vertical="center" wrapText="1"/>
    </xf>
    <xf numFmtId="0" fontId="47" fillId="0" borderId="1" xfId="0" applyFont="1" applyBorder="1" applyAlignment="1">
      <alignment vertical="center" wrapText="1"/>
    </xf>
    <xf numFmtId="0" fontId="47" fillId="0" borderId="1" xfId="0" applyFont="1" applyBorder="1" applyAlignment="1">
      <alignment horizontal="center" vertical="center"/>
    </xf>
    <xf numFmtId="175" fontId="47" fillId="0" borderId="1" xfId="0" applyNumberFormat="1" applyFont="1" applyBorder="1" applyAlignment="1">
      <alignment horizontal="center" vertical="center"/>
    </xf>
    <xf numFmtId="0" fontId="44" fillId="0" borderId="1" xfId="0" applyFont="1" applyBorder="1" applyAlignment="1">
      <alignment horizontal="center" vertical="center" wrapText="1"/>
    </xf>
    <xf numFmtId="186" fontId="44" fillId="0" borderId="1" xfId="0" applyNumberFormat="1" applyFont="1" applyBorder="1" applyAlignment="1">
      <alignment vertical="center" wrapText="1"/>
    </xf>
    <xf numFmtId="2" fontId="44" fillId="0" borderId="1" xfId="0" applyNumberFormat="1" applyFont="1" applyBorder="1" applyAlignment="1">
      <alignment horizontal="center" vertical="center" wrapText="1"/>
    </xf>
    <xf numFmtId="186" fontId="44" fillId="0" borderId="2" xfId="0" applyNumberFormat="1" applyFont="1" applyBorder="1" applyAlignment="1">
      <alignment vertical="center" wrapText="1"/>
    </xf>
    <xf numFmtId="2" fontId="44" fillId="0" borderId="5" xfId="0" applyNumberFormat="1" applyFont="1" applyBorder="1" applyAlignment="1">
      <alignment horizontal="center" vertical="center" wrapText="1"/>
    </xf>
    <xf numFmtId="186" fontId="44" fillId="0" borderId="2" xfId="0" applyNumberFormat="1" applyFont="1" applyBorder="1" applyAlignment="1">
      <alignment horizontal="center" vertical="center" wrapText="1"/>
    </xf>
    <xf numFmtId="0" fontId="47" fillId="0" borderId="7" xfId="0" applyFont="1" applyBorder="1" applyAlignment="1">
      <alignment horizontal="left" vertical="center" wrapText="1"/>
    </xf>
    <xf numFmtId="0" fontId="44" fillId="0" borderId="7" xfId="0" applyFont="1" applyBorder="1" applyAlignment="1">
      <alignment vertical="center" wrapText="1"/>
    </xf>
    <xf numFmtId="0" fontId="45" fillId="0" borderId="7" xfId="0" applyFont="1" applyBorder="1" applyAlignment="1">
      <alignment vertical="center" wrapText="1"/>
    </xf>
    <xf numFmtId="2" fontId="45" fillId="0" borderId="1" xfId="0" applyNumberFormat="1" applyFont="1" applyBorder="1" applyAlignment="1">
      <alignment horizontal="center" vertical="center" wrapText="1"/>
    </xf>
    <xf numFmtId="0" fontId="44" fillId="0" borderId="24" xfId="0" applyFont="1" applyBorder="1" applyAlignment="1">
      <alignment horizontal="center" vertical="center" wrapText="1"/>
    </xf>
    <xf numFmtId="0" fontId="44" fillId="0" borderId="53" xfId="0" applyFont="1" applyBorder="1" applyAlignment="1">
      <alignment horizontal="center" vertical="center" wrapText="1"/>
    </xf>
    <xf numFmtId="0" fontId="44" fillId="0" borderId="11" xfId="0" applyFont="1" applyBorder="1" applyAlignment="1">
      <alignment horizontal="center" vertical="center" wrapText="1"/>
    </xf>
    <xf numFmtId="188" fontId="44" fillId="0" borderId="6" xfId="0" applyNumberFormat="1" applyFont="1" applyBorder="1" applyAlignment="1">
      <alignment vertical="center" wrapText="1"/>
    </xf>
    <xf numFmtId="0" fontId="40" fillId="29" borderId="21" xfId="0" applyFont="1" applyFill="1" applyBorder="1" applyAlignment="1">
      <alignment horizontal="center" vertical="center"/>
    </xf>
    <xf numFmtId="0" fontId="40" fillId="29" borderId="22" xfId="0" applyFont="1" applyFill="1" applyBorder="1" applyAlignment="1">
      <alignment vertical="center"/>
    </xf>
    <xf numFmtId="185" fontId="40" fillId="29" borderId="23" xfId="0" applyNumberFormat="1" applyFont="1" applyFill="1" applyBorder="1" applyAlignment="1">
      <alignment vertical="center"/>
    </xf>
    <xf numFmtId="0" fontId="40" fillId="0" borderId="31" xfId="0" applyFont="1" applyBorder="1" applyAlignment="1">
      <alignment horizontal="center" vertical="center"/>
    </xf>
    <xf numFmtId="0" fontId="40" fillId="0" borderId="1" xfId="0" applyFont="1" applyBorder="1" applyAlignment="1">
      <alignment vertical="center"/>
    </xf>
    <xf numFmtId="185" fontId="41" fillId="0" borderId="2" xfId="0" applyNumberFormat="1" applyFont="1" applyBorder="1" applyAlignment="1">
      <alignment vertical="center"/>
    </xf>
    <xf numFmtId="0" fontId="40" fillId="29" borderId="31" xfId="0" applyFont="1" applyFill="1" applyBorder="1" applyAlignment="1">
      <alignment horizontal="center" vertical="center"/>
    </xf>
    <xf numFmtId="0" fontId="41" fillId="29" borderId="1" xfId="0" applyFont="1" applyFill="1" applyBorder="1" applyAlignment="1">
      <alignment vertical="center"/>
    </xf>
    <xf numFmtId="0" fontId="41" fillId="29" borderId="5" xfId="0" applyFont="1" applyFill="1" applyBorder="1" applyAlignment="1">
      <alignment vertical="center"/>
    </xf>
    <xf numFmtId="0" fontId="41" fillId="0" borderId="1" xfId="0" applyFont="1" applyBorder="1" applyAlignment="1">
      <alignment vertical="center"/>
    </xf>
    <xf numFmtId="0" fontId="41" fillId="0" borderId="5" xfId="0" applyFont="1" applyBorder="1" applyAlignment="1">
      <alignment vertical="center"/>
    </xf>
    <xf numFmtId="0" fontId="40" fillId="29" borderId="5" xfId="0" applyFont="1" applyFill="1" applyBorder="1" applyAlignment="1">
      <alignment horizontal="center" vertical="center"/>
    </xf>
    <xf numFmtId="0" fontId="40" fillId="29" borderId="1" xfId="0" applyFont="1" applyFill="1" applyBorder="1" applyAlignment="1">
      <alignment vertical="center"/>
    </xf>
    <xf numFmtId="185" fontId="40" fillId="29" borderId="2" xfId="0" applyNumberFormat="1" applyFont="1" applyFill="1" applyBorder="1" applyAlignment="1">
      <alignment vertical="center"/>
    </xf>
    <xf numFmtId="0" fontId="40" fillId="0" borderId="11" xfId="0" applyFont="1" applyBorder="1" applyAlignment="1">
      <alignment vertical="center"/>
    </xf>
    <xf numFmtId="185" fontId="41" fillId="0" borderId="6" xfId="0" applyNumberFormat="1" applyFont="1" applyBorder="1" applyAlignment="1">
      <alignment vertical="center"/>
    </xf>
    <xf numFmtId="0" fontId="41" fillId="0" borderId="57" xfId="0" applyFont="1" applyBorder="1" applyAlignment="1">
      <alignment vertical="center"/>
    </xf>
    <xf numFmtId="184" fontId="41" fillId="0" borderId="6" xfId="0" applyNumberFormat="1" applyFont="1" applyBorder="1" applyAlignment="1">
      <alignment vertical="center"/>
    </xf>
    <xf numFmtId="184" fontId="41" fillId="0" borderId="56" xfId="0" applyNumberFormat="1" applyFont="1" applyBorder="1" applyAlignment="1">
      <alignment vertical="center"/>
    </xf>
    <xf numFmtId="185" fontId="40" fillId="29" borderId="61" xfId="0" applyNumberFormat="1" applyFont="1" applyFill="1" applyBorder="1" applyAlignment="1">
      <alignment vertical="center"/>
    </xf>
    <xf numFmtId="185" fontId="40" fillId="29" borderId="6" xfId="0" applyNumberFormat="1" applyFont="1" applyFill="1" applyBorder="1" applyAlignment="1">
      <alignment vertical="center"/>
    </xf>
    <xf numFmtId="0" fontId="40" fillId="0" borderId="5" xfId="0" applyFont="1" applyBorder="1" applyAlignment="1">
      <alignment horizontal="center" vertical="center"/>
    </xf>
    <xf numFmtId="185" fontId="40" fillId="0" borderId="2" xfId="0" applyNumberFormat="1" applyFont="1" applyBorder="1" applyAlignment="1">
      <alignment vertical="center"/>
    </xf>
    <xf numFmtId="169" fontId="40" fillId="0" borderId="2" xfId="0" applyNumberFormat="1" applyFont="1" applyBorder="1" applyAlignment="1">
      <alignment vertical="center"/>
    </xf>
    <xf numFmtId="0" fontId="45" fillId="0" borderId="3" xfId="0" applyFont="1" applyBorder="1" applyAlignment="1">
      <alignment horizontal="center" vertical="center"/>
    </xf>
    <xf numFmtId="189" fontId="41" fillId="0" borderId="0" xfId="93" applyFont="1" applyBorder="1" applyAlignment="1">
      <alignment vertical="center"/>
    </xf>
    <xf numFmtId="0" fontId="41" fillId="0" borderId="4" xfId="0" applyFont="1" applyBorder="1" applyAlignment="1">
      <alignment vertical="center"/>
    </xf>
    <xf numFmtId="0" fontId="41" fillId="0" borderId="30" xfId="0" applyFont="1" applyBorder="1" applyAlignment="1">
      <alignment vertical="center"/>
    </xf>
    <xf numFmtId="0" fontId="40" fillId="0" borderId="64" xfId="0" applyFont="1" applyBorder="1" applyAlignment="1">
      <alignment horizontal="center" vertical="center"/>
    </xf>
    <xf numFmtId="0" fontId="40" fillId="0" borderId="4" xfId="0" applyFont="1" applyBorder="1" applyAlignment="1">
      <alignment vertical="center"/>
    </xf>
    <xf numFmtId="0" fontId="40" fillId="0" borderId="0" xfId="0" applyFont="1" applyAlignment="1">
      <alignment horizontal="center" vertical="center"/>
    </xf>
    <xf numFmtId="0" fontId="45" fillId="0" borderId="44" xfId="0" applyFont="1" applyBorder="1" applyAlignment="1">
      <alignment horizontal="center" vertical="center"/>
    </xf>
    <xf numFmtId="0" fontId="40" fillId="0" borderId="45" xfId="0" applyFont="1" applyBorder="1" applyAlignment="1">
      <alignment horizontal="center" vertical="center"/>
    </xf>
    <xf numFmtId="0" fontId="40" fillId="0" borderId="45" xfId="0" applyFont="1" applyBorder="1" applyAlignment="1">
      <alignment vertical="center"/>
    </xf>
    <xf numFmtId="0" fontId="40" fillId="0" borderId="33" xfId="0" applyFont="1" applyBorder="1" applyAlignment="1">
      <alignment vertical="center"/>
    </xf>
    <xf numFmtId="0" fontId="45" fillId="0" borderId="0" xfId="0" applyFont="1" applyAlignment="1">
      <alignment horizontal="center" vertical="center"/>
    </xf>
    <xf numFmtId="187" fontId="41" fillId="0" borderId="0" xfId="0" applyNumberFormat="1" applyFont="1" applyAlignment="1">
      <alignment vertical="center"/>
    </xf>
    <xf numFmtId="182" fontId="41" fillId="0" borderId="0" xfId="0" applyNumberFormat="1" applyFont="1" applyAlignment="1">
      <alignment vertical="center"/>
    </xf>
    <xf numFmtId="185" fontId="41" fillId="0" borderId="0" xfId="0" applyNumberFormat="1" applyFont="1" applyAlignment="1">
      <alignment vertical="center"/>
    </xf>
    <xf numFmtId="185" fontId="41" fillId="0" borderId="0" xfId="94" applyNumberFormat="1" applyFont="1" applyAlignment="1">
      <alignment vertical="center"/>
    </xf>
    <xf numFmtId="0" fontId="45" fillId="0" borderId="1" xfId="0" applyFont="1" applyBorder="1" applyAlignment="1">
      <alignment vertical="center" wrapText="1"/>
    </xf>
    <xf numFmtId="0" fontId="45" fillId="0" borderId="1" xfId="0" applyFont="1" applyBorder="1" applyAlignment="1">
      <alignment horizontal="center" vertical="center" wrapText="1"/>
    </xf>
    <xf numFmtId="2" fontId="40" fillId="28" borderId="11" xfId="0" applyNumberFormat="1" applyFont="1" applyFill="1" applyBorder="1" applyAlignment="1">
      <alignment horizontal="center" vertical="center" wrapText="1"/>
    </xf>
    <xf numFmtId="2" fontId="44" fillId="0" borderId="22" xfId="0" applyNumberFormat="1" applyFont="1" applyBorder="1" applyAlignment="1">
      <alignment horizontal="center" vertical="center" wrapText="1"/>
    </xf>
    <xf numFmtId="2" fontId="47" fillId="0" borderId="1" xfId="0" applyNumberFormat="1" applyFont="1" applyBorder="1" applyAlignment="1">
      <alignment horizontal="center"/>
    </xf>
    <xf numFmtId="2" fontId="47" fillId="0" borderId="1" xfId="0" applyNumberFormat="1" applyFont="1" applyBorder="1" applyAlignment="1">
      <alignment horizontal="center" vertical="center"/>
    </xf>
    <xf numFmtId="2" fontId="44" fillId="0" borderId="11" xfId="0" applyNumberFormat="1" applyFont="1" applyBorder="1" applyAlignment="1">
      <alignment horizontal="center" vertical="center" wrapText="1"/>
    </xf>
    <xf numFmtId="2" fontId="41" fillId="29" borderId="1" xfId="0" applyNumberFormat="1" applyFont="1" applyFill="1" applyBorder="1" applyAlignment="1">
      <alignment horizontal="center" vertical="center"/>
    </xf>
    <xf numFmtId="2" fontId="45" fillId="0" borderId="11" xfId="66" applyNumberFormat="1" applyFont="1" applyBorder="1" applyAlignment="1">
      <alignment horizontal="center" vertical="center"/>
    </xf>
    <xf numFmtId="2" fontId="41" fillId="0" borderId="1" xfId="0" applyNumberFormat="1" applyFont="1" applyBorder="1" applyAlignment="1">
      <alignment horizontal="center" vertical="center"/>
    </xf>
    <xf numFmtId="2" fontId="41" fillId="0" borderId="0" xfId="0" applyNumberFormat="1" applyFont="1" applyAlignment="1">
      <alignment vertical="center"/>
    </xf>
    <xf numFmtId="2" fontId="40" fillId="0" borderId="0" xfId="0" applyNumberFormat="1" applyFont="1" applyAlignment="1">
      <alignment horizontal="center" vertical="center"/>
    </xf>
    <xf numFmtId="2" fontId="40" fillId="0" borderId="45" xfId="0" applyNumberFormat="1" applyFont="1" applyBorder="1" applyAlignment="1">
      <alignment horizontal="center" vertical="center"/>
    </xf>
    <xf numFmtId="2" fontId="40" fillId="28" borderId="24" xfId="0" applyNumberFormat="1" applyFont="1" applyFill="1" applyBorder="1" applyAlignment="1">
      <alignment horizontal="center" vertical="center" wrapText="1"/>
    </xf>
    <xf numFmtId="2" fontId="44" fillId="0" borderId="21" xfId="0" applyNumberFormat="1" applyFont="1" applyBorder="1" applyAlignment="1">
      <alignment horizontal="center" vertical="center" wrapText="1"/>
    </xf>
    <xf numFmtId="2" fontId="45" fillId="0" borderId="5" xfId="0" applyNumberFormat="1" applyFont="1" applyBorder="1" applyAlignment="1">
      <alignment horizontal="center" vertical="center" wrapText="1"/>
    </xf>
    <xf numFmtId="2" fontId="44" fillId="0" borderId="24" xfId="0" applyNumberFormat="1" applyFont="1" applyBorder="1" applyAlignment="1">
      <alignment horizontal="center" vertical="center" wrapText="1"/>
    </xf>
    <xf numFmtId="2" fontId="40" fillId="29" borderId="21" xfId="0" applyNumberFormat="1" applyFont="1" applyFill="1" applyBorder="1" applyAlignment="1">
      <alignment vertical="center"/>
    </xf>
    <xf numFmtId="2" fontId="40" fillId="0" borderId="5" xfId="0" applyNumberFormat="1" applyFont="1" applyBorder="1" applyAlignment="1">
      <alignment vertical="center"/>
    </xf>
    <xf numFmtId="2" fontId="41" fillId="29" borderId="5" xfId="0" applyNumberFormat="1" applyFont="1" applyFill="1" applyBorder="1" applyAlignment="1">
      <alignment vertical="center"/>
    </xf>
    <xf numFmtId="2" fontId="41" fillId="0" borderId="5" xfId="0" applyNumberFormat="1" applyFont="1" applyBorder="1" applyAlignment="1">
      <alignment vertical="center"/>
    </xf>
    <xf numFmtId="2" fontId="40" fillId="29" borderId="5" xfId="0" applyNumberFormat="1" applyFont="1" applyFill="1" applyBorder="1" applyAlignment="1">
      <alignment vertical="center"/>
    </xf>
    <xf numFmtId="2" fontId="41" fillId="0" borderId="55" xfId="0" applyNumberFormat="1" applyFont="1" applyBorder="1" applyAlignment="1">
      <alignment vertical="center"/>
    </xf>
    <xf numFmtId="2" fontId="41" fillId="0" borderId="30" xfId="0" applyNumberFormat="1" applyFont="1" applyBorder="1" applyAlignment="1">
      <alignment vertical="center"/>
    </xf>
    <xf numFmtId="2" fontId="40" fillId="0" borderId="45" xfId="0" applyNumberFormat="1" applyFont="1" applyBorder="1" applyAlignment="1">
      <alignment vertical="center"/>
    </xf>
    <xf numFmtId="2" fontId="40" fillId="0" borderId="21" xfId="0" applyNumberFormat="1" applyFont="1" applyBorder="1" applyAlignment="1">
      <alignment vertical="center" wrapText="1"/>
    </xf>
    <xf numFmtId="2" fontId="41" fillId="0" borderId="5" xfId="0" applyNumberFormat="1" applyFont="1" applyBorder="1" applyAlignment="1">
      <alignment horizontal="center" vertical="center" wrapText="1"/>
    </xf>
    <xf numFmtId="2" fontId="40" fillId="0" borderId="5" xfId="0" applyNumberFormat="1" applyFont="1" applyBorder="1" applyAlignment="1">
      <alignment horizontal="center" vertical="center" wrapText="1"/>
    </xf>
    <xf numFmtId="2" fontId="41" fillId="0" borderId="24" xfId="0" applyNumberFormat="1" applyFont="1" applyBorder="1" applyAlignment="1">
      <alignment vertical="center"/>
    </xf>
    <xf numFmtId="2" fontId="40" fillId="0" borderId="24" xfId="0" applyNumberFormat="1" applyFont="1" applyBorder="1" applyAlignment="1">
      <alignment vertical="center" wrapText="1"/>
    </xf>
    <xf numFmtId="2" fontId="40" fillId="29" borderId="21" xfId="66" applyNumberFormat="1" applyFont="1" applyFill="1" applyBorder="1" applyAlignment="1">
      <alignment vertical="center"/>
    </xf>
    <xf numFmtId="2" fontId="41" fillId="29" borderId="62" xfId="0" applyNumberFormat="1" applyFont="1" applyFill="1" applyBorder="1" applyAlignment="1">
      <alignment vertical="center"/>
    </xf>
    <xf numFmtId="2" fontId="41" fillId="29" borderId="24" xfId="0" applyNumberFormat="1" applyFont="1" applyFill="1" applyBorder="1" applyAlignment="1">
      <alignment vertical="center"/>
    </xf>
    <xf numFmtId="0" fontId="41" fillId="0" borderId="55" xfId="0" applyFont="1" applyBorder="1" applyAlignment="1">
      <alignment horizontal="center" vertical="center"/>
    </xf>
    <xf numFmtId="0" fontId="41" fillId="0" borderId="0" xfId="0" applyFont="1" applyAlignment="1">
      <alignment horizontal="center" vertical="center"/>
    </xf>
    <xf numFmtId="2" fontId="41" fillId="29" borderId="22" xfId="0" applyNumberFormat="1" applyFont="1" applyFill="1" applyBorder="1" applyAlignment="1">
      <alignment horizontal="center" vertical="center"/>
    </xf>
    <xf numFmtId="2" fontId="41" fillId="0" borderId="0" xfId="0" applyNumberFormat="1" applyFont="1" applyAlignment="1">
      <alignment horizontal="center" vertical="center"/>
    </xf>
    <xf numFmtId="9" fontId="45" fillId="0" borderId="1" xfId="90" applyFont="1" applyBorder="1" applyAlignment="1">
      <alignment horizontal="center" vertical="center"/>
    </xf>
    <xf numFmtId="9" fontId="45" fillId="29" borderId="1" xfId="90" applyFont="1" applyFill="1" applyBorder="1" applyAlignment="1">
      <alignment horizontal="center" vertical="center"/>
    </xf>
    <xf numFmtId="9" fontId="41" fillId="29" borderId="1" xfId="90" applyFont="1" applyFill="1" applyBorder="1" applyAlignment="1">
      <alignment horizontal="center" vertical="center"/>
    </xf>
    <xf numFmtId="0" fontId="48" fillId="0" borderId="0" xfId="95"/>
    <xf numFmtId="0" fontId="49" fillId="0" borderId="0" xfId="95" applyFont="1"/>
    <xf numFmtId="2" fontId="48" fillId="0" borderId="0" xfId="95" applyNumberFormat="1"/>
    <xf numFmtId="9" fontId="48" fillId="0" borderId="0" xfId="90" applyFont="1"/>
    <xf numFmtId="9" fontId="48" fillId="0" borderId="0" xfId="90" applyFont="1" applyBorder="1"/>
    <xf numFmtId="0" fontId="48" fillId="0" borderId="4" xfId="95" applyBorder="1"/>
    <xf numFmtId="0" fontId="51" fillId="0" borderId="0" xfId="61" applyFont="1" applyAlignment="1">
      <alignment vertical="center" wrapText="1"/>
    </xf>
    <xf numFmtId="9" fontId="49" fillId="0" borderId="0" xfId="90" applyFont="1" applyBorder="1" applyAlignment="1">
      <alignment horizontal="center" vertical="center"/>
    </xf>
    <xf numFmtId="0" fontId="48" fillId="0" borderId="33" xfId="95" applyBorder="1"/>
    <xf numFmtId="0" fontId="54" fillId="0" borderId="0" xfId="95" applyFont="1"/>
    <xf numFmtId="2" fontId="54" fillId="0" borderId="0" xfId="95" applyNumberFormat="1" applyFont="1"/>
    <xf numFmtId="9" fontId="54" fillId="0" borderId="0" xfId="90" applyFont="1" applyBorder="1"/>
    <xf numFmtId="0" fontId="55" fillId="0" borderId="0" xfId="95" applyFont="1" applyAlignment="1">
      <alignment horizontal="right" vertical="center"/>
    </xf>
    <xf numFmtId="0" fontId="54" fillId="0" borderId="4" xfId="95" applyFont="1" applyBorder="1"/>
    <xf numFmtId="2" fontId="54" fillId="0" borderId="0" xfId="95" applyNumberFormat="1" applyFont="1" applyAlignment="1">
      <alignment horizontal="center" vertical="center"/>
    </xf>
    <xf numFmtId="9" fontId="54" fillId="0" borderId="0" xfId="90" applyFont="1" applyBorder="1" applyAlignment="1">
      <alignment horizontal="center" vertical="center"/>
    </xf>
    <xf numFmtId="0" fontId="50" fillId="0" borderId="62" xfId="95" applyFont="1" applyBorder="1" applyAlignment="1">
      <alignment horizontal="left" vertical="center"/>
    </xf>
    <xf numFmtId="0" fontId="50" fillId="0" borderId="5" xfId="95" applyFont="1" applyBorder="1" applyAlignment="1">
      <alignment horizontal="left" vertical="center"/>
    </xf>
    <xf numFmtId="2" fontId="54" fillId="0" borderId="34" xfId="95" applyNumberFormat="1" applyFont="1" applyBorder="1" applyAlignment="1">
      <alignment horizontal="right" vertical="center"/>
    </xf>
    <xf numFmtId="0" fontId="50" fillId="0" borderId="31" xfId="95" applyFont="1" applyBorder="1" applyAlignment="1">
      <alignment horizontal="left" vertical="center"/>
    </xf>
    <xf numFmtId="0" fontId="50" fillId="0" borderId="0" xfId="95" applyFont="1" applyAlignment="1">
      <alignment horizontal="center" vertical="center"/>
    </xf>
    <xf numFmtId="0" fontId="54" fillId="0" borderId="0" xfId="95" applyFont="1" applyAlignment="1">
      <alignment horizontal="center" vertical="center"/>
    </xf>
    <xf numFmtId="0" fontId="0" fillId="0" borderId="45" xfId="0" applyBorder="1" applyAlignment="1">
      <alignment vertical="center"/>
    </xf>
    <xf numFmtId="0" fontId="57" fillId="0" borderId="45" xfId="0" applyFont="1" applyBorder="1" applyAlignment="1">
      <alignment horizontal="center" wrapText="1"/>
    </xf>
    <xf numFmtId="0" fontId="54" fillId="0" borderId="45" xfId="95" applyFont="1" applyBorder="1" applyAlignment="1">
      <alignment horizontal="center" vertical="center"/>
    </xf>
    <xf numFmtId="0" fontId="0" fillId="0" borderId="0" xfId="0" applyAlignment="1">
      <alignment vertical="center"/>
    </xf>
    <xf numFmtId="0" fontId="57" fillId="0" borderId="0" xfId="0" applyFont="1" applyAlignment="1">
      <alignment horizontal="center" wrapText="1"/>
    </xf>
    <xf numFmtId="185" fontId="41" fillId="0" borderId="28" xfId="0" applyNumberFormat="1" applyFont="1" applyBorder="1" applyAlignment="1">
      <alignment vertical="center"/>
    </xf>
    <xf numFmtId="185" fontId="40" fillId="29" borderId="28" xfId="0" applyNumberFormat="1" applyFont="1" applyFill="1" applyBorder="1" applyAlignment="1">
      <alignment vertical="center"/>
    </xf>
    <xf numFmtId="184" fontId="41" fillId="0" borderId="57" xfId="0" applyNumberFormat="1" applyFont="1" applyBorder="1" applyAlignment="1">
      <alignment vertical="center"/>
    </xf>
    <xf numFmtId="185" fontId="40" fillId="29" borderId="30" xfId="0" applyNumberFormat="1" applyFont="1" applyFill="1" applyBorder="1" applyAlignment="1">
      <alignment vertical="center"/>
    </xf>
    <xf numFmtId="185" fontId="40" fillId="29" borderId="57" xfId="0" applyNumberFormat="1" applyFont="1" applyFill="1" applyBorder="1" applyAlignment="1">
      <alignment vertical="center"/>
    </xf>
    <xf numFmtId="169" fontId="40" fillId="0" borderId="28" xfId="0" applyNumberFormat="1" applyFont="1" applyBorder="1" applyAlignment="1">
      <alignment vertical="center"/>
    </xf>
    <xf numFmtId="0" fontId="44" fillId="0" borderId="42" xfId="0" applyFont="1" applyBorder="1" applyAlignment="1">
      <alignment vertical="center"/>
    </xf>
    <xf numFmtId="0" fontId="44" fillId="0" borderId="43" xfId="0" applyFont="1" applyBorder="1" applyAlignment="1">
      <alignment vertical="center"/>
    </xf>
    <xf numFmtId="0" fontId="44" fillId="0" borderId="46" xfId="0" applyFont="1" applyBorder="1" applyAlignment="1">
      <alignment vertical="center"/>
    </xf>
    <xf numFmtId="0" fontId="45" fillId="0" borderId="3" xfId="0" applyFont="1" applyBorder="1" applyAlignment="1">
      <alignment vertical="center" wrapText="1"/>
    </xf>
    <xf numFmtId="0" fontId="45" fillId="0" borderId="0" xfId="0" applyFont="1" applyAlignment="1">
      <alignment vertical="center" wrapText="1"/>
    </xf>
    <xf numFmtId="0" fontId="45" fillId="0" borderId="4" xfId="0" applyFont="1" applyBorder="1" applyAlignment="1">
      <alignment vertical="center" wrapText="1"/>
    </xf>
    <xf numFmtId="169" fontId="47" fillId="0" borderId="1" xfId="0" applyNumberFormat="1" applyFont="1" applyBorder="1" applyAlignment="1">
      <alignment horizontal="center" vertical="center"/>
    </xf>
    <xf numFmtId="169" fontId="45" fillId="0" borderId="1" xfId="0" applyNumberFormat="1" applyFont="1" applyBorder="1" applyAlignment="1">
      <alignment horizontal="center" vertical="center" wrapText="1"/>
    </xf>
    <xf numFmtId="2" fontId="59" fillId="0" borderId="1" xfId="0" applyNumberFormat="1" applyFont="1" applyBorder="1" applyAlignment="1">
      <alignment horizontal="center"/>
    </xf>
    <xf numFmtId="2" fontId="60" fillId="0" borderId="1" xfId="0" applyNumberFormat="1" applyFont="1" applyBorder="1" applyAlignment="1">
      <alignment horizontal="center" vertical="center" wrapText="1"/>
    </xf>
    <xf numFmtId="2" fontId="59" fillId="0" borderId="1" xfId="0" applyNumberFormat="1" applyFont="1" applyBorder="1" applyAlignment="1">
      <alignment horizontal="center" vertical="center"/>
    </xf>
    <xf numFmtId="186" fontId="61" fillId="0" borderId="2" xfId="0" applyNumberFormat="1" applyFont="1" applyBorder="1" applyAlignment="1">
      <alignment vertical="center" wrapText="1"/>
    </xf>
    <xf numFmtId="2" fontId="60" fillId="0" borderId="5" xfId="0" applyNumberFormat="1" applyFont="1" applyBorder="1" applyAlignment="1">
      <alignment horizontal="center" vertical="center" wrapText="1"/>
    </xf>
    <xf numFmtId="0" fontId="60" fillId="0" borderId="0" xfId="0" applyFont="1" applyAlignment="1">
      <alignment vertical="center"/>
    </xf>
    <xf numFmtId="186" fontId="44" fillId="0" borderId="28" xfId="0" applyNumberFormat="1" applyFont="1" applyBorder="1" applyAlignment="1">
      <alignment vertical="center" wrapText="1"/>
    </xf>
    <xf numFmtId="185" fontId="40" fillId="29" borderId="49" xfId="0" applyNumberFormat="1" applyFont="1" applyFill="1" applyBorder="1" applyAlignment="1">
      <alignment vertical="center"/>
    </xf>
    <xf numFmtId="2" fontId="41" fillId="0" borderId="0" xfId="0" applyNumberFormat="1" applyFont="1" applyAlignment="1">
      <alignment vertical="center" wrapText="1"/>
    </xf>
    <xf numFmtId="188" fontId="41" fillId="0" borderId="0" xfId="0" applyNumberFormat="1" applyFont="1" applyAlignment="1">
      <alignment vertical="center" wrapText="1"/>
    </xf>
    <xf numFmtId="184" fontId="41" fillId="0" borderId="55" xfId="0" applyNumberFormat="1" applyFont="1" applyBorder="1" applyAlignment="1">
      <alignment vertical="center"/>
    </xf>
    <xf numFmtId="185" fontId="40" fillId="29" borderId="58" xfId="0" applyNumberFormat="1" applyFont="1" applyFill="1" applyBorder="1" applyAlignment="1">
      <alignment vertical="center"/>
    </xf>
    <xf numFmtId="185" fontId="40" fillId="29" borderId="59" xfId="0" applyNumberFormat="1" applyFont="1" applyFill="1" applyBorder="1" applyAlignment="1">
      <alignment vertical="center"/>
    </xf>
    <xf numFmtId="185" fontId="41" fillId="0" borderId="32" xfId="0" applyNumberFormat="1" applyFont="1" applyBorder="1" applyAlignment="1">
      <alignment vertical="center"/>
    </xf>
    <xf numFmtId="185" fontId="41" fillId="0" borderId="54" xfId="0" applyNumberFormat="1" applyFont="1" applyBorder="1" applyAlignment="1">
      <alignment vertical="center"/>
    </xf>
    <xf numFmtId="185" fontId="40" fillId="29" borderId="55" xfId="0" applyNumberFormat="1" applyFont="1" applyFill="1" applyBorder="1" applyAlignment="1">
      <alignment vertical="center"/>
    </xf>
    <xf numFmtId="185" fontId="40" fillId="29" borderId="56" xfId="0" applyNumberFormat="1" applyFont="1" applyFill="1" applyBorder="1" applyAlignment="1">
      <alignment vertical="center"/>
    </xf>
    <xf numFmtId="169" fontId="40" fillId="0" borderId="32" xfId="0" applyNumberFormat="1" applyFont="1" applyBorder="1" applyAlignment="1">
      <alignment vertical="center"/>
    </xf>
    <xf numFmtId="169" fontId="40" fillId="0" borderId="54" xfId="0" applyNumberFormat="1" applyFont="1" applyBorder="1" applyAlignment="1">
      <alignment vertical="center"/>
    </xf>
    <xf numFmtId="0" fontId="40" fillId="29" borderId="24" xfId="0" applyFont="1" applyFill="1" applyBorder="1" applyAlignment="1">
      <alignment horizontal="center" vertical="center"/>
    </xf>
    <xf numFmtId="2" fontId="41" fillId="29" borderId="11" xfId="0" applyNumberFormat="1" applyFont="1" applyFill="1" applyBorder="1" applyAlignment="1">
      <alignment horizontal="center" vertical="center"/>
    </xf>
    <xf numFmtId="0" fontId="40" fillId="29" borderId="11" xfId="0" applyFont="1" applyFill="1" applyBorder="1" applyAlignment="1">
      <alignment vertical="center"/>
    </xf>
    <xf numFmtId="0" fontId="41" fillId="29" borderId="40" xfId="0" applyFont="1" applyFill="1" applyBorder="1" applyAlignment="1">
      <alignment vertical="center"/>
    </xf>
    <xf numFmtId="41" fontId="41" fillId="0" borderId="0" xfId="92" applyFont="1" applyAlignment="1">
      <alignment vertical="center"/>
    </xf>
    <xf numFmtId="188" fontId="41" fillId="0" borderId="0" xfId="0" applyNumberFormat="1" applyFont="1" applyAlignment="1">
      <alignment vertical="center"/>
    </xf>
    <xf numFmtId="190" fontId="41" fillId="0" borderId="0" xfId="0" applyNumberFormat="1" applyFont="1" applyAlignment="1">
      <alignment vertical="center"/>
    </xf>
    <xf numFmtId="2" fontId="45" fillId="0" borderId="34" xfId="0" applyNumberFormat="1" applyFont="1" applyBorder="1" applyAlignment="1">
      <alignment horizontal="center" vertical="center" wrapText="1"/>
    </xf>
    <xf numFmtId="188" fontId="45" fillId="0" borderId="34" xfId="0" applyNumberFormat="1" applyFont="1" applyBorder="1" applyAlignment="1">
      <alignment vertical="center" wrapText="1"/>
    </xf>
    <xf numFmtId="188" fontId="45" fillId="0" borderId="65" xfId="0" applyNumberFormat="1" applyFont="1" applyBorder="1" applyAlignment="1">
      <alignment vertical="center" wrapText="1"/>
    </xf>
    <xf numFmtId="2" fontId="41" fillId="0" borderId="31" xfId="0" applyNumberFormat="1" applyFont="1" applyBorder="1" applyAlignment="1">
      <alignment horizontal="center" vertical="center" wrapText="1"/>
    </xf>
    <xf numFmtId="0" fontId="4" fillId="0" borderId="5" xfId="14" applyFont="1" applyBorder="1" applyAlignment="1">
      <alignment horizontal="center" vertical="center" wrapText="1"/>
    </xf>
    <xf numFmtId="0" fontId="4" fillId="0" borderId="1" xfId="14" applyFont="1" applyBorder="1" applyAlignment="1">
      <alignment horizontal="center" vertical="center"/>
    </xf>
    <xf numFmtId="0" fontId="64" fillId="0" borderId="0" xfId="0" applyFont="1" applyAlignment="1">
      <alignment vertical="center"/>
    </xf>
    <xf numFmtId="2" fontId="64" fillId="0" borderId="0" xfId="0" applyNumberFormat="1" applyFont="1" applyAlignment="1">
      <alignment vertical="center" wrapText="1"/>
    </xf>
    <xf numFmtId="2" fontId="4" fillId="0" borderId="1" xfId="14" applyNumberFormat="1" applyFont="1" applyBorder="1" applyAlignment="1">
      <alignment horizontal="center" vertical="center"/>
    </xf>
    <xf numFmtId="0" fontId="4" fillId="0" borderId="2" xfId="14" applyFont="1" applyBorder="1" applyAlignment="1">
      <alignment horizontal="center" vertical="center"/>
    </xf>
    <xf numFmtId="165" fontId="3" fillId="0" borderId="1" xfId="14" applyNumberFormat="1" applyBorder="1" applyAlignment="1">
      <alignment horizontal="center" vertical="center"/>
    </xf>
    <xf numFmtId="165" fontId="3" fillId="0" borderId="2" xfId="14" applyNumberFormat="1" applyBorder="1" applyAlignment="1">
      <alignment horizontal="center" vertical="center"/>
    </xf>
    <xf numFmtId="2" fontId="3" fillId="0" borderId="1" xfId="1" applyNumberFormat="1" applyFont="1" applyFill="1" applyBorder="1" applyAlignment="1">
      <alignment horizontal="center" vertical="center"/>
    </xf>
    <xf numFmtId="165" fontId="3" fillId="0" borderId="1" xfId="1" applyFont="1" applyFill="1" applyBorder="1" applyAlignment="1">
      <alignment vertical="center"/>
    </xf>
    <xf numFmtId="165" fontId="3" fillId="0" borderId="2" xfId="1" applyFont="1" applyFill="1" applyBorder="1" applyAlignment="1">
      <alignment horizontal="right" vertical="center"/>
    </xf>
    <xf numFmtId="0" fontId="4" fillId="0" borderId="24" xfId="14" applyFont="1" applyBorder="1" applyAlignment="1">
      <alignment vertical="center"/>
    </xf>
    <xf numFmtId="165" fontId="4" fillId="0" borderId="6" xfId="1" applyFont="1" applyFill="1" applyBorder="1" applyAlignment="1">
      <alignment horizontal="right" vertical="center"/>
    </xf>
    <xf numFmtId="0" fontId="4" fillId="0" borderId="1" xfId="14" applyFont="1" applyBorder="1" applyAlignment="1">
      <alignment horizontal="center" vertical="center" wrapText="1"/>
    </xf>
    <xf numFmtId="165" fontId="3" fillId="0" borderId="1" xfId="1" applyFont="1" applyFill="1" applyBorder="1" applyAlignment="1">
      <alignment horizontal="center" vertical="center"/>
    </xf>
    <xf numFmtId="9" fontId="3" fillId="0" borderId="1" xfId="90" applyFont="1" applyFill="1" applyBorder="1" applyAlignment="1">
      <alignment horizontal="center" vertical="center" wrapText="1"/>
    </xf>
    <xf numFmtId="165" fontId="3" fillId="0" borderId="2" xfId="1" applyFont="1" applyFill="1" applyBorder="1" applyAlignment="1">
      <alignment horizontal="center" vertical="center"/>
    </xf>
    <xf numFmtId="0" fontId="3" fillId="0" borderId="1" xfId="14" applyBorder="1" applyAlignment="1">
      <alignment horizontal="center" vertical="center"/>
    </xf>
    <xf numFmtId="2" fontId="3" fillId="0" borderId="1" xfId="0" applyNumberFormat="1" applyFont="1" applyBorder="1" applyAlignment="1">
      <alignment horizontal="center" vertical="center" wrapText="1"/>
    </xf>
    <xf numFmtId="165" fontId="3" fillId="0" borderId="1" xfId="1" applyFont="1" applyFill="1" applyBorder="1" applyAlignment="1">
      <alignment horizontal="right" vertical="center"/>
    </xf>
    <xf numFmtId="10" fontId="3" fillId="0" borderId="1" xfId="0" applyNumberFormat="1" applyFont="1" applyBorder="1" applyAlignment="1">
      <alignment horizontal="center" vertical="center" wrapText="1"/>
    </xf>
    <xf numFmtId="0" fontId="3" fillId="0" borderId="24" xfId="14" applyBorder="1" applyAlignment="1">
      <alignment vertical="center"/>
    </xf>
    <xf numFmtId="169" fontId="3" fillId="0" borderId="1" xfId="14" applyNumberFormat="1" applyBorder="1" applyAlignment="1">
      <alignment vertical="center"/>
    </xf>
    <xf numFmtId="169" fontId="3" fillId="0" borderId="2" xfId="14" applyNumberFormat="1" applyBorder="1" applyAlignment="1">
      <alignment horizontal="right" vertical="center"/>
    </xf>
    <xf numFmtId="169" fontId="4" fillId="0" borderId="6" xfId="14" applyNumberFormat="1" applyFont="1" applyBorder="1" applyAlignment="1">
      <alignment horizontal="right" vertical="center"/>
    </xf>
    <xf numFmtId="2" fontId="4" fillId="0" borderId="1" xfId="14" applyNumberFormat="1" applyFont="1" applyBorder="1" applyAlignment="1">
      <alignment horizontal="center" vertical="center" wrapText="1"/>
    </xf>
    <xf numFmtId="0" fontId="4" fillId="0" borderId="2" xfId="14" applyFont="1" applyBorder="1" applyAlignment="1">
      <alignment horizontal="center" vertical="center" wrapText="1"/>
    </xf>
    <xf numFmtId="169" fontId="3" fillId="0" borderId="1" xfId="14" applyNumberFormat="1" applyBorder="1" applyAlignment="1">
      <alignment horizontal="right" vertical="center"/>
    </xf>
    <xf numFmtId="10" fontId="3" fillId="0" borderId="1" xfId="66" applyNumberFormat="1" applyFont="1" applyFill="1" applyBorder="1" applyAlignment="1">
      <alignment horizontal="center" vertical="center"/>
    </xf>
    <xf numFmtId="172" fontId="3" fillId="0" borderId="1" xfId="14" applyNumberFormat="1" applyBorder="1" applyAlignment="1">
      <alignment horizontal="right" vertical="center"/>
    </xf>
    <xf numFmtId="169" fontId="4" fillId="0" borderId="25" xfId="14" applyNumberFormat="1" applyFont="1" applyBorder="1" applyAlignment="1">
      <alignment vertical="center"/>
    </xf>
    <xf numFmtId="169" fontId="4" fillId="0" borderId="26" xfId="14" applyNumberFormat="1" applyFont="1" applyBorder="1" applyAlignment="1">
      <alignment vertical="center"/>
    </xf>
    <xf numFmtId="2" fontId="41" fillId="0" borderId="0" xfId="0" applyNumberFormat="1" applyFont="1" applyAlignment="1">
      <alignment horizontal="center" vertical="center" wrapText="1"/>
    </xf>
    <xf numFmtId="188" fontId="45" fillId="0" borderId="0" xfId="0" applyNumberFormat="1" applyFont="1" applyAlignment="1">
      <alignment vertical="center" wrapText="1"/>
    </xf>
    <xf numFmtId="0" fontId="41" fillId="0" borderId="1" xfId="0" applyFont="1" applyBorder="1" applyAlignment="1">
      <alignment horizontal="center" vertical="center" wrapText="1"/>
    </xf>
    <xf numFmtId="188" fontId="41" fillId="0" borderId="2" xfId="0" applyNumberFormat="1" applyFont="1" applyBorder="1" applyAlignment="1">
      <alignment vertical="center" wrapText="1"/>
    </xf>
    <xf numFmtId="0" fontId="41" fillId="0" borderId="5" xfId="0" applyFont="1" applyBorder="1" applyAlignment="1">
      <alignment horizontal="center" vertical="center" wrapText="1"/>
    </xf>
    <xf numFmtId="0" fontId="65" fillId="0" borderId="1" xfId="0" applyFont="1" applyBorder="1" applyAlignment="1">
      <alignment horizontal="center" vertical="center"/>
    </xf>
    <xf numFmtId="2" fontId="65" fillId="0" borderId="1" xfId="0" applyNumberFormat="1" applyFont="1" applyBorder="1" applyAlignment="1">
      <alignment horizontal="center" vertical="center"/>
    </xf>
    <xf numFmtId="188" fontId="41" fillId="0" borderId="1" xfId="0" applyNumberFormat="1" applyFont="1" applyBorder="1" applyAlignment="1">
      <alignment vertical="center" wrapText="1"/>
    </xf>
    <xf numFmtId="0" fontId="48" fillId="30" borderId="1" xfId="0" applyFont="1" applyFill="1" applyBorder="1" applyAlignment="1">
      <alignment horizontal="center" vertical="center" wrapText="1"/>
    </xf>
    <xf numFmtId="0" fontId="66" fillId="25" borderId="1" xfId="0" applyFont="1" applyFill="1" applyBorder="1" applyAlignment="1">
      <alignment vertical="center" wrapText="1"/>
    </xf>
    <xf numFmtId="0" fontId="67" fillId="31" borderId="1" xfId="0" applyFont="1" applyFill="1" applyBorder="1" applyAlignment="1">
      <alignment horizontal="center" vertical="center" wrapText="1"/>
    </xf>
    <xf numFmtId="0" fontId="68" fillId="25" borderId="1" xfId="0" applyFont="1" applyFill="1" applyBorder="1" applyAlignment="1">
      <alignment vertical="center" wrapText="1"/>
    </xf>
    <xf numFmtId="0" fontId="67" fillId="30" borderId="1" xfId="0" applyFont="1" applyFill="1" applyBorder="1" applyAlignment="1">
      <alignment horizontal="center" vertical="center" wrapText="1"/>
    </xf>
    <xf numFmtId="0" fontId="50" fillId="0" borderId="62" xfId="95" applyFont="1" applyBorder="1" applyAlignment="1">
      <alignment horizontal="left" vertical="center" wrapText="1"/>
    </xf>
    <xf numFmtId="0" fontId="46" fillId="0" borderId="34" xfId="0" applyFont="1" applyBorder="1" applyAlignment="1">
      <alignment vertical="center" wrapText="1"/>
    </xf>
    <xf numFmtId="0" fontId="41" fillId="0" borderId="34" xfId="0" applyFont="1" applyBorder="1" applyAlignment="1">
      <alignment horizontal="center" vertical="center" wrapText="1"/>
    </xf>
    <xf numFmtId="191" fontId="48" fillId="0" borderId="0" xfId="95" applyNumberFormat="1"/>
    <xf numFmtId="0" fontId="50" fillId="0" borderId="0" xfId="95" applyFont="1" applyAlignment="1">
      <alignment horizontal="left" vertical="center"/>
    </xf>
    <xf numFmtId="0" fontId="54" fillId="0" borderId="0" xfId="95" applyFont="1" applyAlignment="1">
      <alignment horizontal="center" vertical="center" wrapText="1" readingOrder="1"/>
    </xf>
    <xf numFmtId="2" fontId="55" fillId="0" borderId="0" xfId="95" applyNumberFormat="1" applyFont="1" applyAlignment="1">
      <alignment vertical="center"/>
    </xf>
    <xf numFmtId="0" fontId="55" fillId="0" borderId="0" xfId="95" applyFont="1" applyAlignment="1">
      <alignment vertical="center"/>
    </xf>
    <xf numFmtId="2" fontId="50" fillId="0" borderId="0" xfId="95" applyNumberFormat="1" applyFont="1" applyAlignment="1">
      <alignment horizontal="center" vertical="center"/>
    </xf>
    <xf numFmtId="2" fontId="50" fillId="0" borderId="0" xfId="95" applyNumberFormat="1" applyFont="1" applyAlignment="1">
      <alignment horizontal="center" vertical="center" wrapText="1"/>
    </xf>
    <xf numFmtId="9" fontId="50" fillId="0" borderId="0" xfId="90" applyFont="1" applyBorder="1" applyAlignment="1">
      <alignment horizontal="center" vertical="center"/>
    </xf>
    <xf numFmtId="2" fontId="54" fillId="0" borderId="0" xfId="95" applyNumberFormat="1" applyFont="1" applyAlignment="1">
      <alignment horizontal="right" vertical="center"/>
    </xf>
    <xf numFmtId="9" fontId="54" fillId="0" borderId="0" xfId="90" applyFont="1" applyBorder="1" applyAlignment="1">
      <alignment horizontal="right" vertical="center"/>
    </xf>
    <xf numFmtId="0" fontId="50" fillId="0" borderId="0" xfId="95" applyFont="1" applyAlignment="1">
      <alignment horizontal="left" vertical="center" wrapText="1"/>
    </xf>
    <xf numFmtId="0" fontId="54" fillId="0" borderId="0" xfId="95" applyFont="1" applyAlignment="1">
      <alignment vertical="center" wrapText="1" readingOrder="1"/>
    </xf>
    <xf numFmtId="0" fontId="67" fillId="25" borderId="0" xfId="0" applyFont="1" applyFill="1" applyAlignment="1">
      <alignment vertical="center" wrapText="1"/>
    </xf>
    <xf numFmtId="179" fontId="54" fillId="0" borderId="0" xfId="95" applyNumberFormat="1" applyFont="1" applyAlignment="1">
      <alignment horizontal="right" vertical="center"/>
    </xf>
    <xf numFmtId="2" fontId="49" fillId="0" borderId="0" xfId="95" applyNumberFormat="1" applyFont="1"/>
    <xf numFmtId="0" fontId="56" fillId="0" borderId="0" xfId="6" applyFont="1" applyAlignment="1">
      <alignment vertical="top" wrapText="1"/>
    </xf>
    <xf numFmtId="0" fontId="56" fillId="0" borderId="0" xfId="6" applyFont="1" applyAlignment="1">
      <alignment vertical="center"/>
    </xf>
    <xf numFmtId="2" fontId="50" fillId="0" borderId="0" xfId="95" applyNumberFormat="1" applyFont="1" applyAlignment="1">
      <alignment vertical="center"/>
    </xf>
    <xf numFmtId="0" fontId="70" fillId="32" borderId="9" xfId="0" applyFont="1" applyFill="1" applyBorder="1" applyAlignment="1">
      <alignment horizontal="left" vertical="center"/>
    </xf>
    <xf numFmtId="0" fontId="70" fillId="32" borderId="29" xfId="0" applyFont="1" applyFill="1" applyBorder="1" applyAlignment="1">
      <alignment horizontal="left" vertical="center"/>
    </xf>
    <xf numFmtId="0" fontId="71" fillId="32" borderId="42" xfId="0" applyFont="1" applyFill="1" applyBorder="1" applyAlignment="1">
      <alignment horizontal="left" vertical="center"/>
    </xf>
    <xf numFmtId="0" fontId="71" fillId="32" borderId="46" xfId="0" applyFont="1" applyFill="1" applyBorder="1" applyAlignment="1">
      <alignment horizontal="left" vertical="center"/>
    </xf>
    <xf numFmtId="0" fontId="69" fillId="32" borderId="9" xfId="0" applyFont="1" applyFill="1" applyBorder="1" applyAlignment="1">
      <alignment horizontal="left" vertical="center"/>
    </xf>
    <xf numFmtId="0" fontId="69" fillId="32" borderId="29" xfId="0" applyFont="1" applyFill="1" applyBorder="1" applyAlignment="1">
      <alignment horizontal="left" vertical="center"/>
    </xf>
    <xf numFmtId="0" fontId="69" fillId="25" borderId="0" xfId="6" applyFont="1" applyFill="1" applyAlignment="1">
      <alignment vertical="center"/>
    </xf>
    <xf numFmtId="0" fontId="71" fillId="25" borderId="1" xfId="6" applyFont="1" applyFill="1" applyBorder="1" applyAlignment="1">
      <alignment horizontal="center" vertical="center" wrapText="1"/>
    </xf>
    <xf numFmtId="0" fontId="71" fillId="25" borderId="1" xfId="6" applyFont="1" applyFill="1" applyBorder="1" applyAlignment="1">
      <alignment horizontal="center" vertical="center"/>
    </xf>
    <xf numFmtId="165" fontId="71" fillId="25" borderId="1" xfId="1" applyFont="1" applyFill="1" applyBorder="1" applyAlignment="1">
      <alignment horizontal="center" vertical="center" wrapText="1"/>
    </xf>
    <xf numFmtId="2" fontId="73" fillId="25" borderId="1" xfId="0" applyNumberFormat="1" applyFont="1" applyFill="1" applyBorder="1" applyAlignment="1">
      <alignment horizontal="center"/>
    </xf>
    <xf numFmtId="165" fontId="73" fillId="25" borderId="1" xfId="1" applyFont="1" applyFill="1" applyBorder="1" applyAlignment="1">
      <alignment horizontal="center"/>
    </xf>
    <xf numFmtId="165" fontId="71" fillId="25" borderId="1" xfId="1" applyFont="1" applyFill="1" applyBorder="1" applyAlignment="1">
      <alignment horizontal="center" vertical="center"/>
    </xf>
    <xf numFmtId="2" fontId="73" fillId="0" borderId="1" xfId="0" applyNumberFormat="1" applyFont="1" applyBorder="1" applyAlignment="1">
      <alignment horizontal="center"/>
    </xf>
    <xf numFmtId="2" fontId="70" fillId="25" borderId="1" xfId="0" applyNumberFormat="1" applyFont="1" applyFill="1" applyBorder="1" applyAlignment="1">
      <alignment horizontal="center" vertical="center"/>
    </xf>
    <xf numFmtId="0" fontId="70" fillId="25" borderId="1" xfId="0" applyFont="1" applyFill="1" applyBorder="1" applyAlignment="1">
      <alignment horizontal="left" vertical="center" wrapText="1"/>
    </xf>
    <xf numFmtId="0" fontId="70" fillId="25" borderId="1" xfId="0" applyFont="1" applyFill="1" applyBorder="1" applyAlignment="1">
      <alignment horizontal="center" vertical="center"/>
    </xf>
    <xf numFmtId="165" fontId="70" fillId="25" borderId="1" xfId="1" applyFont="1" applyFill="1" applyBorder="1" applyAlignment="1">
      <alignment horizontal="center" vertical="center"/>
    </xf>
    <xf numFmtId="0" fontId="70" fillId="0" borderId="1" xfId="0" applyFont="1" applyBorder="1" applyAlignment="1">
      <alignment horizontal="center" vertical="center"/>
    </xf>
    <xf numFmtId="172" fontId="71" fillId="25" borderId="1" xfId="6" applyNumberFormat="1" applyFont="1" applyFill="1" applyBorder="1" applyAlignment="1">
      <alignment horizontal="right" vertical="center"/>
    </xf>
    <xf numFmtId="2" fontId="71" fillId="25" borderId="1" xfId="6" applyNumberFormat="1" applyFont="1" applyFill="1" applyBorder="1" applyAlignment="1">
      <alignment horizontal="right" vertical="center"/>
    </xf>
    <xf numFmtId="0" fontId="70" fillId="0" borderId="1" xfId="0" applyFont="1" applyBorder="1" applyAlignment="1">
      <alignment horizontal="right" vertical="center"/>
    </xf>
    <xf numFmtId="0" fontId="37" fillId="0" borderId="9" xfId="0" applyFont="1" applyBorder="1" applyAlignment="1">
      <alignment horizontal="center" vertical="center"/>
    </xf>
    <xf numFmtId="0" fontId="37" fillId="0" borderId="10" xfId="0" applyFont="1" applyBorder="1" applyAlignment="1">
      <alignment horizontal="center" vertical="center"/>
    </xf>
    <xf numFmtId="0" fontId="37" fillId="0" borderId="29" xfId="0" applyFont="1" applyBorder="1" applyAlignment="1">
      <alignment horizontal="center" vertical="center"/>
    </xf>
    <xf numFmtId="0" fontId="37" fillId="0" borderId="9" xfId="0" applyFont="1" applyBorder="1" applyAlignment="1">
      <alignment horizontal="center" vertical="center" wrapText="1"/>
    </xf>
    <xf numFmtId="0" fontId="37" fillId="0" borderId="10" xfId="0" applyFont="1" applyBorder="1" applyAlignment="1">
      <alignment horizontal="center" vertical="center" wrapText="1"/>
    </xf>
    <xf numFmtId="0" fontId="37" fillId="0" borderId="29" xfId="0" applyFont="1" applyBorder="1" applyAlignment="1">
      <alignment horizontal="center" vertical="center" wrapText="1"/>
    </xf>
    <xf numFmtId="0" fontId="4" fillId="0" borderId="11" xfId="14" applyFont="1" applyBorder="1" applyAlignment="1">
      <alignment horizontal="left" vertical="center"/>
    </xf>
    <xf numFmtId="0" fontId="3" fillId="0" borderId="3" xfId="14" applyBorder="1" applyAlignment="1">
      <alignment horizontal="center" vertical="center"/>
    </xf>
    <xf numFmtId="0" fontId="3" fillId="0" borderId="0" xfId="14" applyAlignment="1">
      <alignment horizontal="center" vertical="center"/>
    </xf>
    <xf numFmtId="0" fontId="3" fillId="0" borderId="4" xfId="14" applyBorder="1" applyAlignment="1">
      <alignment horizontal="center" vertical="center"/>
    </xf>
    <xf numFmtId="0" fontId="4" fillId="0" borderId="21" xfId="14" applyFont="1" applyBorder="1" applyAlignment="1">
      <alignment horizontal="center" vertical="center"/>
    </xf>
    <xf numFmtId="0" fontId="4" fillId="0" borderId="22" xfId="14" applyFont="1" applyBorder="1" applyAlignment="1">
      <alignment horizontal="center" vertical="center"/>
    </xf>
    <xf numFmtId="0" fontId="4" fillId="0" borderId="23" xfId="14" applyFont="1" applyBorder="1" applyAlignment="1">
      <alignment horizontal="center" vertical="center"/>
    </xf>
    <xf numFmtId="0" fontId="4" fillId="0" borderId="1" xfId="14" applyFont="1" applyBorder="1" applyAlignment="1">
      <alignment horizontal="center" vertical="center"/>
    </xf>
    <xf numFmtId="0" fontId="3" fillId="0" borderId="1" xfId="14" applyBorder="1" applyAlignment="1">
      <alignment horizontal="left" vertical="center" wrapText="1"/>
    </xf>
    <xf numFmtId="0" fontId="3" fillId="0" borderId="1" xfId="14" applyBorder="1" applyAlignment="1">
      <alignment horizontal="center" vertical="center"/>
    </xf>
    <xf numFmtId="0" fontId="4" fillId="0" borderId="3" xfId="14" applyFont="1" applyBorder="1" applyAlignment="1">
      <alignment horizontal="center" vertical="center"/>
    </xf>
    <xf numFmtId="0" fontId="4" fillId="0" borderId="0" xfId="14" applyFont="1" applyAlignment="1">
      <alignment horizontal="center" vertical="center"/>
    </xf>
    <xf numFmtId="0" fontId="4" fillId="0" borderId="4" xfId="14" applyFont="1" applyBorder="1" applyAlignment="1">
      <alignment horizontal="center" vertical="center"/>
    </xf>
    <xf numFmtId="0" fontId="3" fillId="0" borderId="7" xfId="14" applyBorder="1" applyAlignment="1">
      <alignment horizontal="left" vertical="center"/>
    </xf>
    <xf numFmtId="0" fontId="3" fillId="0" borderId="8" xfId="14" applyBorder="1" applyAlignment="1">
      <alignment horizontal="left" vertical="center"/>
    </xf>
    <xf numFmtId="0" fontId="32" fillId="0" borderId="7" xfId="14" applyFont="1" applyBorder="1" applyAlignment="1">
      <alignment horizontal="left" vertical="center"/>
    </xf>
    <xf numFmtId="0" fontId="32" fillId="0" borderId="8" xfId="14" applyFont="1" applyBorder="1" applyAlignment="1">
      <alignment horizontal="left" vertical="center"/>
    </xf>
    <xf numFmtId="0" fontId="3" fillId="0" borderId="1" xfId="14" applyBorder="1" applyAlignment="1">
      <alignment horizontal="left" vertical="center"/>
    </xf>
    <xf numFmtId="0" fontId="4" fillId="0" borderId="9" xfId="14" applyFont="1" applyBorder="1" applyAlignment="1">
      <alignment horizontal="center" vertical="center"/>
    </xf>
    <xf numFmtId="0" fontId="4" fillId="0" borderId="10" xfId="14" applyFont="1" applyBorder="1" applyAlignment="1">
      <alignment horizontal="center" vertical="center"/>
    </xf>
    <xf numFmtId="0" fontId="4" fillId="0" borderId="27" xfId="14" applyFont="1" applyBorder="1" applyAlignment="1">
      <alignment horizontal="center" vertical="center"/>
    </xf>
    <xf numFmtId="0" fontId="31" fillId="0" borderId="21" xfId="14" applyFont="1" applyBorder="1" applyAlignment="1">
      <alignment horizontal="center" vertical="center"/>
    </xf>
    <xf numFmtId="0" fontId="31" fillId="0" borderId="22" xfId="14" applyFont="1" applyBorder="1" applyAlignment="1">
      <alignment horizontal="center" vertical="center"/>
    </xf>
    <xf numFmtId="0" fontId="31" fillId="0" borderId="23" xfId="14" applyFont="1" applyBorder="1" applyAlignment="1">
      <alignment horizontal="center" vertical="center"/>
    </xf>
    <xf numFmtId="0" fontId="31" fillId="0" borderId="5" xfId="14" applyFont="1" applyBorder="1" applyAlignment="1">
      <alignment horizontal="center" vertical="center" wrapText="1"/>
    </xf>
    <xf numFmtId="0" fontId="31" fillId="0" borderId="1" xfId="14" applyFont="1" applyBorder="1" applyAlignment="1">
      <alignment horizontal="center" vertical="center" wrapText="1"/>
    </xf>
    <xf numFmtId="0" fontId="31" fillId="0" borderId="2" xfId="14" applyFont="1" applyBorder="1" applyAlignment="1">
      <alignment horizontal="center" vertical="center" wrapText="1"/>
    </xf>
    <xf numFmtId="0" fontId="31" fillId="0" borderId="5" xfId="14" applyFont="1" applyBorder="1" applyAlignment="1">
      <alignment horizontal="center" vertical="center"/>
    </xf>
    <xf numFmtId="0" fontId="31" fillId="0" borderId="24" xfId="14" applyFont="1" applyBorder="1" applyAlignment="1">
      <alignment horizontal="center" vertical="center"/>
    </xf>
    <xf numFmtId="2" fontId="31" fillId="0" borderId="1" xfId="14" applyNumberFormat="1" applyFont="1" applyBorder="1" applyAlignment="1">
      <alignment horizontal="left" vertical="center"/>
    </xf>
    <xf numFmtId="0" fontId="31" fillId="0" borderId="1" xfId="14" applyFont="1" applyBorder="1" applyAlignment="1">
      <alignment horizontal="left" vertical="center"/>
    </xf>
    <xf numFmtId="0" fontId="33" fillId="0" borderId="11" xfId="14" applyFont="1" applyBorder="1" applyAlignment="1">
      <alignment horizontal="left" vertical="center" wrapText="1"/>
    </xf>
    <xf numFmtId="0" fontId="31" fillId="0" borderId="3" xfId="14" applyFont="1" applyBorder="1" applyAlignment="1">
      <alignment horizontal="center" vertical="center"/>
    </xf>
    <xf numFmtId="0" fontId="31" fillId="0" borderId="0" xfId="14" applyFont="1" applyAlignment="1">
      <alignment horizontal="center" vertical="center"/>
    </xf>
    <xf numFmtId="0" fontId="31" fillId="0" borderId="4" xfId="14" applyFont="1" applyBorder="1" applyAlignment="1">
      <alignment horizontal="center" vertical="center"/>
    </xf>
    <xf numFmtId="0" fontId="3" fillId="0" borderId="28" xfId="14" applyBorder="1" applyAlignment="1">
      <alignment horizontal="left" vertical="center"/>
    </xf>
    <xf numFmtId="0" fontId="3" fillId="0" borderId="7" xfId="14" applyBorder="1" applyAlignment="1">
      <alignment horizontal="left" vertical="center" wrapText="1"/>
    </xf>
    <xf numFmtId="0" fontId="3" fillId="0" borderId="28" xfId="14" applyBorder="1" applyAlignment="1">
      <alignment horizontal="left" vertical="center" wrapText="1"/>
    </xf>
    <xf numFmtId="0" fontId="3" fillId="0" borderId="8" xfId="14" applyBorder="1" applyAlignment="1">
      <alignment horizontal="left" vertical="center" wrapText="1"/>
    </xf>
    <xf numFmtId="0" fontId="3" fillId="0" borderId="1" xfId="14" applyBorder="1" applyAlignment="1">
      <alignment vertical="center" wrapText="1"/>
    </xf>
    <xf numFmtId="0" fontId="31" fillId="0" borderId="11" xfId="14" applyFont="1" applyBorder="1" applyAlignment="1">
      <alignment horizontal="left" vertical="center"/>
    </xf>
    <xf numFmtId="0" fontId="32" fillId="0" borderId="3" xfId="14" applyFont="1" applyBorder="1" applyAlignment="1">
      <alignment horizontal="center" vertical="center"/>
    </xf>
    <xf numFmtId="0" fontId="32" fillId="0" borderId="0" xfId="14" applyFont="1" applyAlignment="1">
      <alignment horizontal="center" vertical="center"/>
    </xf>
    <xf numFmtId="0" fontId="32" fillId="0" borderId="4" xfId="14" applyFont="1" applyBorder="1" applyAlignment="1">
      <alignment horizontal="center" vertical="center"/>
    </xf>
    <xf numFmtId="0" fontId="31" fillId="0" borderId="9" xfId="14" applyFont="1" applyBorder="1" applyAlignment="1">
      <alignment horizontal="center" vertical="center"/>
    </xf>
    <xf numFmtId="0" fontId="31" fillId="0" borderId="10" xfId="14" applyFont="1" applyBorder="1" applyAlignment="1">
      <alignment horizontal="center" vertical="center"/>
    </xf>
    <xf numFmtId="0" fontId="31" fillId="0" borderId="27" xfId="14" applyFont="1" applyBorder="1" applyAlignment="1">
      <alignment horizontal="center" vertical="center"/>
    </xf>
    <xf numFmtId="0" fontId="31" fillId="0" borderId="1" xfId="14" applyFont="1" applyBorder="1" applyAlignment="1">
      <alignment horizontal="center" vertical="center"/>
    </xf>
    <xf numFmtId="0" fontId="32" fillId="0" borderId="1" xfId="14" applyFont="1" applyBorder="1" applyAlignment="1">
      <alignment horizontal="left" vertical="center"/>
    </xf>
    <xf numFmtId="0" fontId="32" fillId="0" borderId="1" xfId="14" applyFont="1" applyBorder="1" applyAlignment="1">
      <alignment horizontal="left" vertical="center" wrapText="1"/>
    </xf>
    <xf numFmtId="0" fontId="32" fillId="0" borderId="1" xfId="14" applyFont="1" applyBorder="1" applyAlignment="1">
      <alignment horizontal="center" vertical="center"/>
    </xf>
    <xf numFmtId="0" fontId="32" fillId="0" borderId="28" xfId="14" applyFont="1" applyBorder="1" applyAlignment="1">
      <alignment horizontal="left" vertical="center" wrapText="1"/>
    </xf>
    <xf numFmtId="0" fontId="32" fillId="0" borderId="8" xfId="14" applyFont="1" applyBorder="1" applyAlignment="1">
      <alignment horizontal="left" vertical="center" wrapText="1"/>
    </xf>
    <xf numFmtId="0" fontId="32" fillId="0" borderId="7" xfId="14" applyFont="1" applyBorder="1" applyAlignment="1">
      <alignment horizontal="left" vertical="center" wrapText="1"/>
    </xf>
    <xf numFmtId="0" fontId="32" fillId="0" borderId="28" xfId="14" applyFont="1" applyBorder="1" applyAlignment="1">
      <alignment horizontal="left" vertical="center"/>
    </xf>
    <xf numFmtId="0" fontId="32" fillId="0" borderId="1" xfId="14" applyFont="1" applyBorder="1" applyAlignment="1">
      <alignment vertical="center" wrapText="1"/>
    </xf>
    <xf numFmtId="0" fontId="40" fillId="0" borderId="45" xfId="0" applyFont="1" applyBorder="1" applyAlignment="1">
      <alignment horizontal="center" vertical="center"/>
    </xf>
    <xf numFmtId="0" fontId="40" fillId="0" borderId="32" xfId="0" applyFont="1" applyBorder="1" applyAlignment="1">
      <alignment horizontal="center" vertical="center"/>
    </xf>
    <xf numFmtId="0" fontId="40" fillId="0" borderId="54" xfId="0" applyFont="1" applyBorder="1" applyAlignment="1">
      <alignment horizontal="center" vertical="center"/>
    </xf>
    <xf numFmtId="0" fontId="40" fillId="29" borderId="32" xfId="0" applyFont="1" applyFill="1" applyBorder="1" applyAlignment="1">
      <alignment horizontal="center" vertical="center"/>
    </xf>
    <xf numFmtId="0" fontId="40" fillId="29" borderId="54" xfId="0" applyFont="1" applyFill="1" applyBorder="1" applyAlignment="1">
      <alignment horizontal="center" vertical="center"/>
    </xf>
    <xf numFmtId="0" fontId="40" fillId="0" borderId="0" xfId="0" applyFont="1" applyAlignment="1">
      <alignment horizontal="center" vertical="center"/>
    </xf>
    <xf numFmtId="0" fontId="44" fillId="29" borderId="58" xfId="0" applyFont="1" applyFill="1" applyBorder="1" applyAlignment="1">
      <alignment horizontal="center" vertical="center"/>
    </xf>
    <xf numFmtId="0" fontId="44" fillId="29" borderId="59" xfId="0" applyFont="1" applyFill="1" applyBorder="1" applyAlignment="1">
      <alignment horizontal="center" vertical="center"/>
    </xf>
    <xf numFmtId="0" fontId="41" fillId="29" borderId="58" xfId="0" applyFont="1" applyFill="1" applyBorder="1" applyAlignment="1">
      <alignment horizontal="center" vertical="center"/>
    </xf>
    <xf numFmtId="0" fontId="41" fillId="29" borderId="30" xfId="0" applyFont="1" applyFill="1" applyBorder="1" applyAlignment="1">
      <alignment horizontal="center" vertical="center"/>
    </xf>
    <xf numFmtId="0" fontId="41" fillId="29" borderId="60" xfId="0" applyFont="1" applyFill="1" applyBorder="1" applyAlignment="1">
      <alignment horizontal="center" vertical="center"/>
    </xf>
    <xf numFmtId="0" fontId="44" fillId="0" borderId="32" xfId="0" applyFont="1" applyBorder="1" applyAlignment="1">
      <alignment horizontal="center" vertical="center"/>
    </xf>
    <xf numFmtId="0" fontId="44" fillId="0" borderId="54" xfId="0" applyFont="1" applyBorder="1" applyAlignment="1">
      <alignment horizontal="center" vertical="center"/>
    </xf>
    <xf numFmtId="0" fontId="41" fillId="0" borderId="32" xfId="0" applyFont="1" applyBorder="1" applyAlignment="1">
      <alignment horizontal="center" vertical="center"/>
    </xf>
    <xf numFmtId="0" fontId="41" fillId="0" borderId="28" xfId="0" applyFont="1" applyBorder="1" applyAlignment="1">
      <alignment horizontal="center" vertical="center"/>
    </xf>
    <xf numFmtId="0" fontId="41" fillId="0" borderId="8" xfId="0" applyFont="1" applyBorder="1" applyAlignment="1">
      <alignment horizontal="center" vertical="center"/>
    </xf>
    <xf numFmtId="0" fontId="44" fillId="29" borderId="55" xfId="0" applyFont="1" applyFill="1" applyBorder="1" applyAlignment="1">
      <alignment horizontal="center" vertical="center"/>
    </xf>
    <xf numFmtId="0" fontId="44" fillId="29" borderId="56" xfId="0" applyFont="1" applyFill="1" applyBorder="1" applyAlignment="1">
      <alignment horizontal="center" vertical="center"/>
    </xf>
    <xf numFmtId="0" fontId="41" fillId="29" borderId="55" xfId="0" applyFont="1" applyFill="1" applyBorder="1" applyAlignment="1">
      <alignment horizontal="center" vertical="center"/>
    </xf>
    <xf numFmtId="0" fontId="41" fillId="29" borderId="57" xfId="0" applyFont="1" applyFill="1" applyBorder="1" applyAlignment="1">
      <alignment horizontal="center" vertical="center"/>
    </xf>
    <xf numFmtId="0" fontId="41" fillId="29" borderId="63" xfId="0" applyFont="1" applyFill="1" applyBorder="1" applyAlignment="1">
      <alignment horizontal="center" vertical="center"/>
    </xf>
    <xf numFmtId="0" fontId="44" fillId="0" borderId="55" xfId="0" applyFont="1" applyBorder="1" applyAlignment="1">
      <alignment horizontal="center" vertical="center"/>
    </xf>
    <xf numFmtId="0" fontId="44" fillId="0" borderId="56" xfId="0" applyFont="1" applyBorder="1" applyAlignment="1">
      <alignment horizontal="center" vertical="center"/>
    </xf>
    <xf numFmtId="0" fontId="41" fillId="0" borderId="9" xfId="0" applyFont="1" applyBorder="1" applyAlignment="1">
      <alignment horizontal="center" vertical="center"/>
    </xf>
    <xf numFmtId="0" fontId="41" fillId="0" borderId="10" xfId="0" applyFont="1" applyBorder="1" applyAlignment="1">
      <alignment horizontal="center" vertical="center"/>
    </xf>
    <xf numFmtId="0" fontId="41" fillId="0" borderId="29" xfId="0" applyFont="1" applyBorder="1" applyAlignment="1">
      <alignment horizontal="center" vertical="center"/>
    </xf>
    <xf numFmtId="0" fontId="40" fillId="28" borderId="47" xfId="0" applyFont="1" applyFill="1" applyBorder="1" applyAlignment="1">
      <alignment horizontal="center" vertical="center" wrapText="1"/>
    </xf>
    <xf numFmtId="0" fontId="40" fillId="28" borderId="52" xfId="0" applyFont="1" applyFill="1" applyBorder="1" applyAlignment="1">
      <alignment horizontal="center" vertical="center" wrapText="1"/>
    </xf>
    <xf numFmtId="0" fontId="40" fillId="28" borderId="46" xfId="0" applyFont="1" applyFill="1" applyBorder="1" applyAlignment="1">
      <alignment horizontal="center" vertical="center" wrapText="1"/>
    </xf>
    <xf numFmtId="0" fontId="40" fillId="28" borderId="33" xfId="0" applyFont="1" applyFill="1" applyBorder="1" applyAlignment="1">
      <alignment horizontal="center" vertical="center" wrapText="1"/>
    </xf>
    <xf numFmtId="0" fontId="40" fillId="28" borderId="48" xfId="0" applyFont="1" applyFill="1" applyBorder="1" applyAlignment="1">
      <alignment horizontal="center" vertical="center"/>
    </xf>
    <xf numFmtId="0" fontId="40" fillId="28" borderId="49" xfId="0" applyFont="1" applyFill="1" applyBorder="1" applyAlignment="1">
      <alignment horizontal="center" vertical="center"/>
    </xf>
    <xf numFmtId="0" fontId="40" fillId="28" borderId="50" xfId="0" applyFont="1" applyFill="1" applyBorder="1" applyAlignment="1">
      <alignment horizontal="center" vertical="center"/>
    </xf>
    <xf numFmtId="0" fontId="40" fillId="28" borderId="48" xfId="0" applyFont="1" applyFill="1" applyBorder="1" applyAlignment="1">
      <alignment horizontal="center" vertical="center" wrapText="1"/>
    </xf>
    <xf numFmtId="0" fontId="41" fillId="0" borderId="51" xfId="0" applyFont="1" applyBorder="1" applyAlignment="1">
      <alignment horizontal="center" vertical="center" wrapText="1"/>
    </xf>
    <xf numFmtId="0" fontId="40" fillId="28" borderId="21" xfId="0" applyFont="1" applyFill="1" applyBorder="1" applyAlignment="1">
      <alignment horizontal="center" vertical="center" wrapText="1"/>
    </xf>
    <xf numFmtId="0" fontId="40" fillId="28" borderId="23" xfId="0" applyFont="1" applyFill="1" applyBorder="1" applyAlignment="1">
      <alignment horizontal="center" vertical="center" wrapText="1"/>
    </xf>
    <xf numFmtId="0" fontId="40" fillId="29" borderId="48" xfId="0" applyFont="1" applyFill="1" applyBorder="1" applyAlignment="1">
      <alignment horizontal="center" vertical="center"/>
    </xf>
    <xf numFmtId="0" fontId="40" fillId="29" borderId="50" xfId="0" applyFont="1" applyFill="1" applyBorder="1" applyAlignment="1">
      <alignment horizontal="center" vertical="center"/>
    </xf>
    <xf numFmtId="0" fontId="40" fillId="0" borderId="42" xfId="0" applyFont="1" applyBorder="1" applyAlignment="1">
      <alignment horizontal="center" vertical="center"/>
    </xf>
    <xf numFmtId="0" fontId="41" fillId="0" borderId="43" xfId="0" applyFont="1" applyBorder="1" applyAlignment="1">
      <alignment horizontal="center" vertical="center"/>
    </xf>
    <xf numFmtId="0" fontId="41" fillId="0" borderId="44" xfId="0" applyFont="1" applyBorder="1" applyAlignment="1">
      <alignment horizontal="center" vertical="center"/>
    </xf>
    <xf numFmtId="0" fontId="41" fillId="0" borderId="45" xfId="0" applyFont="1" applyBorder="1" applyAlignment="1">
      <alignment horizontal="center" vertical="center"/>
    </xf>
    <xf numFmtId="0" fontId="42" fillId="0" borderId="9" xfId="6" applyFont="1" applyBorder="1" applyAlignment="1" applyProtection="1">
      <alignment horizontal="left" vertical="center" wrapText="1"/>
      <protection locked="0"/>
    </xf>
    <xf numFmtId="0" fontId="42" fillId="0" borderId="10" xfId="6" applyFont="1" applyBorder="1" applyAlignment="1" applyProtection="1">
      <alignment horizontal="left" vertical="center" wrapText="1"/>
      <protection locked="0"/>
    </xf>
    <xf numFmtId="0" fontId="42" fillId="0" borderId="29" xfId="6" applyFont="1" applyBorder="1" applyAlignment="1" applyProtection="1">
      <alignment horizontal="left" vertical="center" wrapText="1"/>
      <protection locked="0"/>
    </xf>
    <xf numFmtId="0" fontId="41" fillId="0" borderId="42" xfId="0" applyFont="1" applyBorder="1" applyAlignment="1">
      <alignment horizontal="center" vertical="center"/>
    </xf>
    <xf numFmtId="0" fontId="41" fillId="0" borderId="46" xfId="0" applyFont="1" applyBorder="1" applyAlignment="1">
      <alignment horizontal="center" vertical="center"/>
    </xf>
    <xf numFmtId="0" fontId="41" fillId="0" borderId="3" xfId="0" applyFont="1" applyBorder="1" applyAlignment="1">
      <alignment horizontal="center" vertical="center"/>
    </xf>
    <xf numFmtId="0" fontId="41" fillId="0" borderId="4" xfId="0" applyFont="1" applyBorder="1" applyAlignment="1">
      <alignment horizontal="center" vertical="center"/>
    </xf>
    <xf numFmtId="0" fontId="41" fillId="0" borderId="33" xfId="0" applyFont="1" applyBorder="1" applyAlignment="1">
      <alignment horizontal="center" vertical="center"/>
    </xf>
    <xf numFmtId="0" fontId="40" fillId="0" borderId="42" xfId="0" applyFont="1" applyBorder="1" applyAlignment="1">
      <alignment horizontal="center" vertical="center" wrapText="1"/>
    </xf>
    <xf numFmtId="0" fontId="41" fillId="0" borderId="43" xfId="0" applyFont="1" applyBorder="1" applyAlignment="1">
      <alignment horizontal="center" vertical="center" wrapText="1"/>
    </xf>
    <xf numFmtId="0" fontId="41" fillId="0" borderId="46" xfId="0" applyFont="1" applyBorder="1" applyAlignment="1">
      <alignment horizontal="center" vertical="center" wrapText="1"/>
    </xf>
    <xf numFmtId="0" fontId="41" fillId="0" borderId="3" xfId="0" applyFont="1" applyBorder="1" applyAlignment="1">
      <alignment horizontal="center" vertical="center" wrapText="1"/>
    </xf>
    <xf numFmtId="0" fontId="41" fillId="0" borderId="0" xfId="0" applyFont="1" applyAlignment="1">
      <alignment horizontal="center" vertical="center" wrapText="1"/>
    </xf>
    <xf numFmtId="0" fontId="41" fillId="0" borderId="4" xfId="0" applyFont="1" applyBorder="1" applyAlignment="1">
      <alignment horizontal="center" vertical="center" wrapText="1"/>
    </xf>
    <xf numFmtId="0" fontId="41" fillId="0" borderId="44" xfId="0" applyFont="1" applyBorder="1" applyAlignment="1">
      <alignment horizontal="center" vertical="center" wrapText="1"/>
    </xf>
    <xf numFmtId="0" fontId="41" fillId="0" borderId="45" xfId="0" applyFont="1" applyBorder="1" applyAlignment="1">
      <alignment horizontal="center" vertical="center" wrapText="1"/>
    </xf>
    <xf numFmtId="0" fontId="41" fillId="0" borderId="33" xfId="0" applyFont="1" applyBorder="1" applyAlignment="1">
      <alignment horizontal="center" vertical="center" wrapText="1"/>
    </xf>
    <xf numFmtId="0" fontId="40" fillId="0" borderId="9" xfId="0" applyFont="1" applyBorder="1" applyAlignment="1">
      <alignment horizontal="left" vertical="center"/>
    </xf>
    <xf numFmtId="0" fontId="41" fillId="0" borderId="10" xfId="0" applyFont="1" applyBorder="1" applyAlignment="1">
      <alignment horizontal="left" vertical="center"/>
    </xf>
    <xf numFmtId="0" fontId="40" fillId="0" borderId="9" xfId="0" applyFont="1" applyBorder="1" applyAlignment="1">
      <alignment horizontal="justify" vertical="center" wrapText="1"/>
    </xf>
    <xf numFmtId="0" fontId="41" fillId="0" borderId="10" xfId="0" applyFont="1" applyBorder="1" applyAlignment="1">
      <alignment horizontal="justify" vertical="center" wrapText="1"/>
    </xf>
    <xf numFmtId="0" fontId="41" fillId="0" borderId="29" xfId="0" applyFont="1" applyBorder="1" applyAlignment="1">
      <alignment horizontal="justify" vertical="center" wrapText="1"/>
    </xf>
    <xf numFmtId="0" fontId="40" fillId="28" borderId="9" xfId="0" applyFont="1" applyFill="1" applyBorder="1" applyAlignment="1">
      <alignment horizontal="justify" vertical="center"/>
    </xf>
    <xf numFmtId="0" fontId="40" fillId="28" borderId="10" xfId="0" applyFont="1" applyFill="1" applyBorder="1" applyAlignment="1">
      <alignment horizontal="justify" vertical="center"/>
    </xf>
    <xf numFmtId="184" fontId="4" fillId="0" borderId="9" xfId="0" applyNumberFormat="1" applyFont="1" applyBorder="1" applyAlignment="1">
      <alignment horizontal="center" vertical="center" wrapText="1"/>
    </xf>
    <xf numFmtId="184" fontId="4" fillId="0" borderId="10" xfId="0" applyNumberFormat="1" applyFont="1" applyBorder="1" applyAlignment="1">
      <alignment horizontal="center" vertical="center" wrapText="1"/>
    </xf>
    <xf numFmtId="184" fontId="4" fillId="0" borderId="29" xfId="0" applyNumberFormat="1" applyFont="1" applyBorder="1" applyAlignment="1">
      <alignment horizontal="center" vertical="center" wrapText="1"/>
    </xf>
    <xf numFmtId="0" fontId="40" fillId="28" borderId="9" xfId="0" applyFont="1" applyFill="1" applyBorder="1" applyAlignment="1">
      <alignment horizontal="center" vertical="center" wrapText="1"/>
    </xf>
    <xf numFmtId="0" fontId="40" fillId="28" borderId="29" xfId="0" applyFont="1" applyFill="1" applyBorder="1" applyAlignment="1">
      <alignment horizontal="center" vertical="center" wrapText="1"/>
    </xf>
    <xf numFmtId="185" fontId="4" fillId="0" borderId="42" xfId="0" applyNumberFormat="1" applyFont="1" applyBorder="1" applyAlignment="1">
      <alignment horizontal="center" vertical="center" wrapText="1"/>
    </xf>
    <xf numFmtId="185" fontId="4" fillId="0" borderId="43" xfId="0" applyNumberFormat="1" applyFont="1" applyBorder="1" applyAlignment="1">
      <alignment horizontal="center" vertical="center" wrapText="1"/>
    </xf>
    <xf numFmtId="185" fontId="4" fillId="0" borderId="46" xfId="0" applyNumberFormat="1" applyFont="1" applyBorder="1" applyAlignment="1">
      <alignment horizontal="center" vertical="center" wrapText="1"/>
    </xf>
    <xf numFmtId="10" fontId="43" fillId="0" borderId="42" xfId="66" applyNumberFormat="1" applyFont="1" applyBorder="1" applyAlignment="1">
      <alignment horizontal="center" vertical="center" wrapText="1"/>
    </xf>
    <xf numFmtId="10" fontId="43" fillId="0" borderId="46" xfId="66" applyNumberFormat="1" applyFont="1" applyBorder="1" applyAlignment="1">
      <alignment horizontal="center" vertical="center" wrapText="1"/>
    </xf>
    <xf numFmtId="10" fontId="43" fillId="0" borderId="44" xfId="66" applyNumberFormat="1" applyFont="1" applyBorder="1" applyAlignment="1">
      <alignment horizontal="center" vertical="center" wrapText="1"/>
    </xf>
    <xf numFmtId="10" fontId="43" fillId="0" borderId="33" xfId="66" applyNumberFormat="1" applyFont="1" applyBorder="1" applyAlignment="1">
      <alignment horizontal="center" vertical="center" wrapText="1"/>
    </xf>
    <xf numFmtId="0" fontId="40" fillId="28" borderId="9" xfId="0" applyFont="1" applyFill="1" applyBorder="1" applyAlignment="1">
      <alignment horizontal="justify" vertical="center" wrapText="1"/>
    </xf>
    <xf numFmtId="0" fontId="40" fillId="28" borderId="10" xfId="0" applyFont="1" applyFill="1" applyBorder="1" applyAlignment="1">
      <alignment horizontal="justify" vertical="center" wrapText="1"/>
    </xf>
    <xf numFmtId="184" fontId="4" fillId="0" borderId="44" xfId="0" applyNumberFormat="1" applyFont="1" applyBorder="1" applyAlignment="1">
      <alignment horizontal="center" vertical="center" wrapText="1"/>
    </xf>
    <xf numFmtId="184" fontId="4" fillId="0" borderId="45" xfId="0" applyNumberFormat="1" applyFont="1" applyBorder="1" applyAlignment="1">
      <alignment horizontal="center" vertical="center" wrapText="1"/>
    </xf>
    <xf numFmtId="184" fontId="4" fillId="0" borderId="33" xfId="0" applyNumberFormat="1" applyFont="1" applyBorder="1" applyAlignment="1">
      <alignment horizontal="center" vertical="center" wrapText="1"/>
    </xf>
    <xf numFmtId="185" fontId="4" fillId="0" borderId="9" xfId="0" applyNumberFormat="1" applyFont="1" applyBorder="1" applyAlignment="1">
      <alignment horizontal="center" vertical="center" wrapText="1"/>
    </xf>
    <xf numFmtId="185" fontId="4" fillId="0" borderId="29" xfId="0" applyNumberFormat="1" applyFont="1" applyBorder="1" applyAlignment="1">
      <alignment horizontal="center" vertical="center" wrapText="1"/>
    </xf>
    <xf numFmtId="0" fontId="40" fillId="0" borderId="9" xfId="0" applyFont="1" applyBorder="1" applyAlignment="1">
      <alignment horizontal="center" vertical="center" wrapText="1"/>
    </xf>
    <xf numFmtId="0" fontId="40" fillId="0" borderId="10" xfId="0" applyFont="1" applyBorder="1" applyAlignment="1">
      <alignment horizontal="center" vertical="center" wrapText="1"/>
    </xf>
    <xf numFmtId="0" fontId="40" fillId="0" borderId="29" xfId="0" applyFont="1" applyBorder="1" applyAlignment="1">
      <alignment horizontal="center" vertical="center" wrapText="1"/>
    </xf>
    <xf numFmtId="0" fontId="42" fillId="0" borderId="9" xfId="6" applyFont="1" applyBorder="1" applyAlignment="1" applyProtection="1">
      <alignment horizontal="center" vertical="center" wrapText="1"/>
      <protection locked="0"/>
    </xf>
    <xf numFmtId="0" fontId="42" fillId="0" borderId="10" xfId="6" applyFont="1" applyBorder="1" applyAlignment="1" applyProtection="1">
      <alignment horizontal="center" vertical="center" wrapText="1"/>
      <protection locked="0"/>
    </xf>
    <xf numFmtId="0" fontId="42" fillId="0" borderId="29" xfId="6" applyFont="1" applyBorder="1" applyAlignment="1" applyProtection="1">
      <alignment horizontal="center" vertical="center" wrapText="1"/>
      <protection locked="0"/>
    </xf>
    <xf numFmtId="0" fontId="40" fillId="0" borderId="43" xfId="0" applyFont="1" applyBorder="1" applyAlignment="1">
      <alignment horizontal="center" vertical="center"/>
    </xf>
    <xf numFmtId="0" fontId="40" fillId="0" borderId="46" xfId="0" applyFont="1" applyBorder="1" applyAlignment="1">
      <alignment horizontal="center" vertical="center"/>
    </xf>
    <xf numFmtId="0" fontId="40" fillId="0" borderId="44" xfId="0" applyFont="1" applyBorder="1" applyAlignment="1">
      <alignment horizontal="center" vertical="center"/>
    </xf>
    <xf numFmtId="0" fontId="40" fillId="0" borderId="33" xfId="0" applyFont="1" applyBorder="1" applyAlignment="1">
      <alignment horizontal="center" vertical="center"/>
    </xf>
    <xf numFmtId="0" fontId="40" fillId="28" borderId="29" xfId="0" applyFont="1" applyFill="1" applyBorder="1" applyAlignment="1">
      <alignment horizontal="justify" vertical="center"/>
    </xf>
    <xf numFmtId="0" fontId="40" fillId="28" borderId="29" xfId="0" applyFont="1" applyFill="1" applyBorder="1" applyAlignment="1">
      <alignment horizontal="justify" vertical="center" wrapText="1"/>
    </xf>
    <xf numFmtId="0" fontId="37" fillId="0" borderId="41" xfId="0" applyFont="1" applyBorder="1" applyAlignment="1">
      <alignment horizontal="center" vertical="center"/>
    </xf>
    <xf numFmtId="0" fontId="37" fillId="0" borderId="37" xfId="0" applyFont="1" applyBorder="1" applyAlignment="1">
      <alignment horizontal="center" vertical="center" wrapText="1"/>
    </xf>
    <xf numFmtId="0" fontId="37" fillId="0" borderId="38" xfId="0" applyFont="1" applyBorder="1" applyAlignment="1">
      <alignment horizontal="center" vertical="center"/>
    </xf>
    <xf numFmtId="0" fontId="37" fillId="0" borderId="40" xfId="0" applyFont="1" applyBorder="1" applyAlignment="1">
      <alignment horizontal="center" vertical="center"/>
    </xf>
    <xf numFmtId="0" fontId="40" fillId="0" borderId="10" xfId="0" applyFont="1" applyBorder="1" applyAlignment="1">
      <alignment horizontal="justify" vertical="center" wrapText="1"/>
    </xf>
    <xf numFmtId="0" fontId="40" fillId="0" borderId="29" xfId="0" applyFont="1" applyBorder="1" applyAlignment="1">
      <alignment horizontal="justify" vertical="center" wrapText="1"/>
    </xf>
    <xf numFmtId="0" fontId="40" fillId="28" borderId="9" xfId="0" applyFont="1" applyFill="1" applyBorder="1" applyAlignment="1">
      <alignment horizontal="center" vertical="center"/>
    </xf>
    <xf numFmtId="0" fontId="40" fillId="28" borderId="10" xfId="0" applyFont="1" applyFill="1" applyBorder="1" applyAlignment="1">
      <alignment horizontal="center" vertical="center"/>
    </xf>
    <xf numFmtId="0" fontId="40" fillId="28" borderId="29" xfId="0" applyFont="1" applyFill="1" applyBorder="1" applyAlignment="1">
      <alignment horizontal="center" vertical="center"/>
    </xf>
    <xf numFmtId="0" fontId="40" fillId="28" borderId="44" xfId="0" applyFont="1" applyFill="1" applyBorder="1" applyAlignment="1">
      <alignment horizontal="center" vertical="center" wrapText="1"/>
    </xf>
    <xf numFmtId="0" fontId="40" fillId="28" borderId="45" xfId="0" applyFont="1" applyFill="1" applyBorder="1" applyAlignment="1">
      <alignment horizontal="center" vertical="center" wrapText="1"/>
    </xf>
    <xf numFmtId="185" fontId="4" fillId="0" borderId="10" xfId="0" applyNumberFormat="1" applyFont="1" applyBorder="1" applyAlignment="1">
      <alignment horizontal="center" vertical="center" wrapText="1"/>
    </xf>
    <xf numFmtId="0" fontId="40" fillId="29" borderId="55" xfId="0" applyFont="1" applyFill="1" applyBorder="1" applyAlignment="1">
      <alignment horizontal="center" vertical="center"/>
    </xf>
    <xf numFmtId="0" fontId="40" fillId="29" borderId="56" xfId="0" applyFont="1" applyFill="1" applyBorder="1" applyAlignment="1">
      <alignment horizontal="center" vertical="center"/>
    </xf>
    <xf numFmtId="0" fontId="73" fillId="29" borderId="1" xfId="0" applyFont="1" applyFill="1" applyBorder="1" applyAlignment="1">
      <alignment horizontal="center" vertical="center"/>
    </xf>
    <xf numFmtId="0" fontId="70" fillId="25" borderId="0" xfId="0" applyFont="1" applyFill="1" applyAlignment="1">
      <alignment wrapText="1"/>
    </xf>
    <xf numFmtId="0" fontId="70" fillId="25" borderId="0" xfId="0" applyFont="1" applyFill="1" applyAlignment="1">
      <alignment vertical="center" wrapText="1"/>
    </xf>
    <xf numFmtId="0" fontId="69" fillId="0" borderId="1" xfId="6" applyFont="1" applyBorder="1" applyAlignment="1">
      <alignment horizontal="center" vertical="center" wrapText="1"/>
    </xf>
    <xf numFmtId="0" fontId="71" fillId="25" borderId="70" xfId="6" applyFont="1" applyFill="1" applyBorder="1" applyAlignment="1">
      <alignment horizontal="center" vertical="center" wrapText="1"/>
    </xf>
    <xf numFmtId="0" fontId="71" fillId="25" borderId="72" xfId="6" applyFont="1" applyFill="1" applyBorder="1" applyAlignment="1">
      <alignment horizontal="center" vertical="center" wrapText="1"/>
    </xf>
    <xf numFmtId="0" fontId="71" fillId="25" borderId="74" xfId="6" applyFont="1" applyFill="1" applyBorder="1" applyAlignment="1">
      <alignment horizontal="center" vertical="center" wrapText="1"/>
    </xf>
    <xf numFmtId="0" fontId="71" fillId="25" borderId="75" xfId="6" applyFont="1" applyFill="1" applyBorder="1" applyAlignment="1">
      <alignment horizontal="center" vertical="center" wrapText="1"/>
    </xf>
    <xf numFmtId="0" fontId="71" fillId="25" borderId="73" xfId="6" applyFont="1" applyFill="1" applyBorder="1" applyAlignment="1">
      <alignment horizontal="center" vertical="center" wrapText="1"/>
    </xf>
    <xf numFmtId="0" fontId="71" fillId="25" borderId="60" xfId="6" applyFont="1" applyFill="1" applyBorder="1" applyAlignment="1">
      <alignment horizontal="center" vertical="center" wrapText="1"/>
    </xf>
    <xf numFmtId="0" fontId="71" fillId="29" borderId="1" xfId="6" applyFont="1" applyFill="1" applyBorder="1" applyAlignment="1">
      <alignment horizontal="left" vertical="center" wrapText="1"/>
    </xf>
    <xf numFmtId="165" fontId="69" fillId="0" borderId="1" xfId="1" applyFont="1" applyFill="1" applyBorder="1" applyAlignment="1">
      <alignment horizontal="center" vertical="center" wrapText="1"/>
    </xf>
    <xf numFmtId="165" fontId="70" fillId="0" borderId="1" xfId="1" applyFont="1" applyFill="1" applyBorder="1" applyAlignment="1">
      <alignment horizontal="center" vertical="center"/>
    </xf>
    <xf numFmtId="0" fontId="73" fillId="25" borderId="1" xfId="0" applyFont="1" applyFill="1" applyBorder="1" applyAlignment="1">
      <alignment horizontal="center"/>
    </xf>
    <xf numFmtId="0" fontId="73" fillId="25" borderId="1" xfId="0" applyFont="1" applyFill="1" applyBorder="1" applyAlignment="1">
      <alignment horizontal="center" wrapText="1"/>
    </xf>
    <xf numFmtId="0" fontId="69" fillId="25" borderId="1" xfId="6" applyFont="1" applyFill="1" applyBorder="1" applyAlignment="1">
      <alignment horizontal="center" vertical="center"/>
    </xf>
    <xf numFmtId="0" fontId="71" fillId="0" borderId="7" xfId="6" applyFont="1" applyBorder="1" applyAlignment="1">
      <alignment horizontal="center" vertical="center" wrapText="1"/>
    </xf>
    <xf numFmtId="0" fontId="71" fillId="25" borderId="1" xfId="6" applyFont="1" applyFill="1" applyBorder="1" applyAlignment="1">
      <alignment horizontal="center" vertical="center" wrapText="1"/>
    </xf>
    <xf numFmtId="9" fontId="71" fillId="25" borderId="1" xfId="6" applyNumberFormat="1" applyFont="1" applyFill="1" applyBorder="1" applyAlignment="1">
      <alignment horizontal="right" vertical="center"/>
    </xf>
    <xf numFmtId="0" fontId="70" fillId="0" borderId="1" xfId="0" applyFont="1" applyBorder="1" applyAlignment="1">
      <alignment horizontal="right" vertical="center"/>
    </xf>
    <xf numFmtId="169" fontId="71" fillId="25" borderId="1" xfId="6" applyNumberFormat="1" applyFont="1" applyFill="1" applyBorder="1" applyAlignment="1">
      <alignment horizontal="right" vertical="center"/>
    </xf>
    <xf numFmtId="0" fontId="70" fillId="0" borderId="1" xfId="0" applyFont="1" applyBorder="1"/>
    <xf numFmtId="0" fontId="69" fillId="25" borderId="7" xfId="6" applyFont="1" applyFill="1" applyBorder="1" applyAlignment="1">
      <alignment horizontal="center" vertical="center" wrapText="1"/>
    </xf>
    <xf numFmtId="0" fontId="69" fillId="0" borderId="42" xfId="0" applyFont="1" applyBorder="1" applyAlignment="1">
      <alignment horizontal="left" vertical="center"/>
    </xf>
    <xf numFmtId="0" fontId="69" fillId="0" borderId="46" xfId="0" applyFont="1" applyBorder="1" applyAlignment="1">
      <alignment horizontal="left" vertical="center"/>
    </xf>
    <xf numFmtId="0" fontId="69" fillId="0" borderId="44" xfId="0" applyFont="1" applyBorder="1" applyAlignment="1">
      <alignment horizontal="left" vertical="center"/>
    </xf>
    <xf numFmtId="0" fontId="69" fillId="0" borderId="33" xfId="0" applyFont="1" applyBorder="1" applyAlignment="1">
      <alignment horizontal="left" vertical="center"/>
    </xf>
    <xf numFmtId="0" fontId="69" fillId="0" borderId="43" xfId="0" applyFont="1" applyBorder="1" applyAlignment="1">
      <alignment horizontal="left" vertical="center"/>
    </xf>
    <xf numFmtId="0" fontId="69" fillId="0" borderId="45" xfId="0" applyFont="1" applyBorder="1" applyAlignment="1">
      <alignment horizontal="left" vertical="center"/>
    </xf>
    <xf numFmtId="188" fontId="70" fillId="32" borderId="9" xfId="0" applyNumberFormat="1" applyFont="1" applyFill="1" applyBorder="1" applyAlignment="1">
      <alignment horizontal="center" vertical="center"/>
    </xf>
    <xf numFmtId="188" fontId="70" fillId="32" borderId="29" xfId="0" applyNumberFormat="1" applyFont="1" applyFill="1" applyBorder="1" applyAlignment="1">
      <alignment horizontal="center" vertical="center"/>
    </xf>
    <xf numFmtId="0" fontId="72" fillId="0" borderId="9" xfId="0" applyFont="1" applyBorder="1" applyAlignment="1">
      <alignment horizontal="center" vertical="center" wrapText="1"/>
    </xf>
    <xf numFmtId="0" fontId="72" fillId="0" borderId="10" xfId="0" applyFont="1" applyBorder="1" applyAlignment="1">
      <alignment horizontal="center" vertical="center" wrapText="1"/>
    </xf>
    <xf numFmtId="0" fontId="72" fillId="0" borderId="29" xfId="0" applyFont="1" applyBorder="1" applyAlignment="1">
      <alignment horizontal="center" vertical="center" wrapText="1"/>
    </xf>
    <xf numFmtId="0" fontId="72" fillId="0" borderId="42" xfId="0" applyFont="1" applyBorder="1" applyAlignment="1">
      <alignment horizontal="center" vertical="center" wrapText="1"/>
    </xf>
    <xf numFmtId="0" fontId="72" fillId="0" borderId="46" xfId="0" applyFont="1" applyBorder="1" applyAlignment="1">
      <alignment horizontal="center" vertical="center" wrapText="1"/>
    </xf>
    <xf numFmtId="0" fontId="72" fillId="0" borderId="43" xfId="0" applyFont="1" applyBorder="1" applyAlignment="1">
      <alignment horizontal="center" vertical="center" wrapText="1"/>
    </xf>
    <xf numFmtId="0" fontId="73" fillId="32" borderId="42" xfId="0" applyFont="1" applyFill="1" applyBorder="1" applyAlignment="1">
      <alignment horizontal="center" wrapText="1"/>
    </xf>
    <xf numFmtId="0" fontId="73" fillId="32" borderId="46" xfId="0" applyFont="1" applyFill="1" applyBorder="1" applyAlignment="1">
      <alignment horizontal="center" wrapText="1"/>
    </xf>
    <xf numFmtId="0" fontId="73" fillId="0" borderId="42" xfId="0" applyFont="1" applyBorder="1" applyAlignment="1">
      <alignment horizontal="center" wrapText="1"/>
    </xf>
    <xf numFmtId="0" fontId="73" fillId="0" borderId="46" xfId="0" applyFont="1" applyBorder="1" applyAlignment="1">
      <alignment horizontal="center" wrapText="1"/>
    </xf>
    <xf numFmtId="0" fontId="54" fillId="0" borderId="0" xfId="95" applyFont="1" applyAlignment="1">
      <alignment horizontal="center" vertical="center"/>
    </xf>
    <xf numFmtId="0" fontId="53" fillId="0" borderId="0" xfId="61" applyFont="1" applyAlignment="1">
      <alignment horizontal="center" vertical="center"/>
    </xf>
    <xf numFmtId="0" fontId="50" fillId="0" borderId="0" xfId="95" applyFont="1" applyAlignment="1">
      <alignment horizontal="left" vertical="center"/>
    </xf>
    <xf numFmtId="0" fontId="50" fillId="0" borderId="0" xfId="95" applyFont="1" applyAlignment="1">
      <alignment horizontal="center" vertical="center"/>
    </xf>
    <xf numFmtId="0" fontId="54" fillId="0" borderId="0" xfId="95" applyFont="1" applyAlignment="1">
      <alignment horizontal="center" vertical="center" wrapText="1" readingOrder="1"/>
    </xf>
    <xf numFmtId="0" fontId="50" fillId="0" borderId="0" xfId="61" applyFont="1" applyAlignment="1">
      <alignment horizontal="center" vertical="center"/>
    </xf>
    <xf numFmtId="0" fontId="0" fillId="0" borderId="0" xfId="0" applyAlignment="1">
      <alignment vertical="center"/>
    </xf>
    <xf numFmtId="0" fontId="49" fillId="0" borderId="0" xfId="95" applyFont="1" applyAlignment="1">
      <alignment horizontal="center" vertical="center"/>
    </xf>
    <xf numFmtId="0" fontId="51" fillId="0" borderId="0" xfId="61" applyFont="1" applyAlignment="1">
      <alignment horizontal="center" vertical="center" wrapText="1"/>
    </xf>
    <xf numFmtId="16" fontId="52" fillId="0" borderId="0" xfId="61" applyNumberFormat="1" applyFont="1" applyAlignment="1">
      <alignment horizontal="center"/>
    </xf>
    <xf numFmtId="0" fontId="52" fillId="0" borderId="0" xfId="61" applyFont="1" applyAlignment="1">
      <alignment horizontal="center"/>
    </xf>
    <xf numFmtId="0" fontId="56" fillId="0" borderId="0" xfId="6" applyFont="1" applyAlignment="1">
      <alignment horizontal="center" vertical="top" wrapText="1"/>
    </xf>
    <xf numFmtId="0" fontId="49" fillId="0" borderId="0" xfId="95" applyFont="1" applyAlignment="1">
      <alignment horizontal="center"/>
    </xf>
    <xf numFmtId="0" fontId="71" fillId="0" borderId="0" xfId="0" applyFont="1" applyAlignment="1">
      <alignment vertical="center"/>
    </xf>
    <xf numFmtId="0" fontId="71" fillId="0" borderId="0" xfId="6" applyFont="1" applyAlignment="1" applyProtection="1">
      <alignment horizontal="center" vertical="center" wrapText="1"/>
      <protection locked="0"/>
    </xf>
    <xf numFmtId="0" fontId="69" fillId="0" borderId="0" xfId="0" applyFont="1" applyAlignment="1">
      <alignment vertical="center"/>
    </xf>
    <xf numFmtId="0" fontId="71" fillId="0" borderId="1" xfId="0" applyFont="1" applyBorder="1" applyAlignment="1">
      <alignment horizontal="center" vertical="center"/>
    </xf>
    <xf numFmtId="0" fontId="71" fillId="0" borderId="70" xfId="0" applyFont="1" applyBorder="1" applyAlignment="1">
      <alignment horizontal="center" vertical="center"/>
    </xf>
    <xf numFmtId="0" fontId="71" fillId="0" borderId="64" xfId="0" applyFont="1" applyBorder="1" applyAlignment="1">
      <alignment horizontal="center" vertical="center"/>
    </xf>
    <xf numFmtId="0" fontId="71" fillId="0" borderId="72" xfId="0" applyFont="1" applyBorder="1" applyAlignment="1">
      <alignment horizontal="center" vertical="center"/>
    </xf>
    <xf numFmtId="0" fontId="71" fillId="0" borderId="73" xfId="0" applyFont="1" applyBorder="1" applyAlignment="1">
      <alignment horizontal="center" vertical="center"/>
    </xf>
    <xf numFmtId="0" fontId="71" fillId="0" borderId="30" xfId="0" applyFont="1" applyBorder="1" applyAlignment="1">
      <alignment horizontal="center" vertical="center"/>
    </xf>
    <xf numFmtId="0" fontId="71" fillId="0" borderId="60" xfId="0" applyFont="1" applyBorder="1" applyAlignment="1">
      <alignment horizontal="center" vertical="center"/>
    </xf>
    <xf numFmtId="0" fontId="71" fillId="0" borderId="76" xfId="0" applyFont="1" applyBorder="1" applyAlignment="1">
      <alignment horizontal="center" vertical="center"/>
    </xf>
    <xf numFmtId="0" fontId="69" fillId="0" borderId="76" xfId="0" applyFont="1" applyBorder="1" applyAlignment="1">
      <alignment horizontal="center" vertical="center"/>
    </xf>
    <xf numFmtId="0" fontId="69" fillId="0" borderId="1" xfId="0" applyFont="1" applyBorder="1" applyAlignment="1">
      <alignment horizontal="center" vertical="center" wrapText="1"/>
    </xf>
    <xf numFmtId="0" fontId="69" fillId="0" borderId="70" xfId="0" applyFont="1" applyBorder="1" applyAlignment="1">
      <alignment horizontal="center" vertical="center" wrapText="1"/>
    </xf>
    <xf numFmtId="0" fontId="69" fillId="0" borderId="64" xfId="0" applyFont="1" applyBorder="1" applyAlignment="1">
      <alignment horizontal="center" vertical="center" wrapText="1"/>
    </xf>
    <xf numFmtId="0" fontId="69" fillId="0" borderId="72" xfId="0" applyFont="1" applyBorder="1" applyAlignment="1">
      <alignment horizontal="center" vertical="center" wrapText="1"/>
    </xf>
    <xf numFmtId="0" fontId="71" fillId="29" borderId="1" xfId="0" applyFont="1" applyFill="1" applyBorder="1" applyAlignment="1">
      <alignment horizontal="center" vertical="center" wrapText="1"/>
    </xf>
    <xf numFmtId="165" fontId="71" fillId="0" borderId="7" xfId="1" applyFont="1" applyFill="1" applyBorder="1" applyAlignment="1">
      <alignment horizontal="center" vertical="center" wrapText="1"/>
    </xf>
    <xf numFmtId="165" fontId="71" fillId="0" borderId="8" xfId="1" applyFont="1" applyFill="1" applyBorder="1" applyAlignment="1">
      <alignment horizontal="center" vertical="center" wrapText="1"/>
    </xf>
    <xf numFmtId="184" fontId="71" fillId="29" borderId="1" xfId="0" applyNumberFormat="1" applyFont="1" applyFill="1" applyBorder="1" applyAlignment="1">
      <alignment horizontal="center" vertical="center" wrapText="1"/>
    </xf>
    <xf numFmtId="0" fontId="69" fillId="0" borderId="74" xfId="0" applyFont="1" applyBorder="1" applyAlignment="1">
      <alignment horizontal="center" vertical="center" wrapText="1"/>
    </xf>
    <xf numFmtId="0" fontId="69" fillId="0" borderId="0" xfId="0" applyFont="1" applyAlignment="1">
      <alignment horizontal="center" vertical="center" wrapText="1"/>
    </xf>
    <xf numFmtId="0" fontId="69" fillId="0" borderId="75" xfId="0" applyFont="1" applyBorder="1" applyAlignment="1">
      <alignment horizontal="center" vertical="center" wrapText="1"/>
    </xf>
    <xf numFmtId="0" fontId="69" fillId="0" borderId="1" xfId="0" applyFont="1" applyBorder="1" applyAlignment="1">
      <alignment horizontal="center" vertical="center"/>
    </xf>
    <xf numFmtId="0" fontId="69" fillId="0" borderId="73" xfId="0" applyFont="1" applyBorder="1" applyAlignment="1">
      <alignment horizontal="center" vertical="center" wrapText="1"/>
    </xf>
    <xf numFmtId="0" fontId="69" fillId="0" borderId="30" xfId="0" applyFont="1" applyBorder="1" applyAlignment="1">
      <alignment horizontal="center" vertical="center" wrapText="1"/>
    </xf>
    <xf numFmtId="0" fontId="69" fillId="0" borderId="60" xfId="0" applyFont="1" applyBorder="1" applyAlignment="1">
      <alignment horizontal="center" vertical="center" wrapText="1"/>
    </xf>
    <xf numFmtId="0" fontId="71" fillId="28" borderId="77" xfId="0" applyFont="1" applyFill="1" applyBorder="1" applyAlignment="1">
      <alignment horizontal="center" vertical="center" wrapText="1"/>
    </xf>
    <xf numFmtId="0" fontId="71" fillId="28" borderId="4" xfId="0" applyFont="1" applyFill="1" applyBorder="1" applyAlignment="1">
      <alignment horizontal="center" vertical="center" wrapText="1"/>
    </xf>
    <xf numFmtId="0" fontId="71" fillId="28" borderId="58" xfId="0" applyFont="1" applyFill="1" applyBorder="1" applyAlignment="1">
      <alignment horizontal="center" vertical="center"/>
    </xf>
    <xf numFmtId="0" fontId="71" fillId="28" borderId="30" xfId="0" applyFont="1" applyFill="1" applyBorder="1" applyAlignment="1">
      <alignment horizontal="center" vertical="center"/>
    </xf>
    <xf numFmtId="0" fontId="71" fillId="28" borderId="59" xfId="0" applyFont="1" applyFill="1" applyBorder="1" applyAlignment="1">
      <alignment horizontal="center" vertical="center"/>
    </xf>
    <xf numFmtId="0" fontId="71" fillId="28" borderId="62" xfId="0" applyFont="1" applyFill="1" applyBorder="1" applyAlignment="1">
      <alignment horizontal="center" vertical="center" wrapText="1"/>
    </xf>
    <xf numFmtId="0" fontId="71" fillId="28" borderId="61" xfId="0" applyFont="1" applyFill="1" applyBorder="1" applyAlignment="1">
      <alignment horizontal="center" vertical="center" wrapText="1"/>
    </xf>
    <xf numFmtId="0" fontId="71" fillId="28" borderId="52" xfId="0" applyFont="1" applyFill="1" applyBorder="1" applyAlignment="1">
      <alignment horizontal="center" vertical="center" wrapText="1"/>
    </xf>
    <xf numFmtId="0" fontId="71" fillId="28" borderId="33" xfId="0" applyFont="1" applyFill="1" applyBorder="1" applyAlignment="1">
      <alignment horizontal="center" vertical="center" wrapText="1"/>
    </xf>
    <xf numFmtId="0" fontId="71" fillId="28" borderId="24" xfId="0" applyFont="1" applyFill="1" applyBorder="1" applyAlignment="1">
      <alignment horizontal="center" vertical="center" wrapText="1"/>
    </xf>
    <xf numFmtId="2" fontId="71" fillId="28" borderId="11" xfId="0" applyNumberFormat="1" applyFont="1" applyFill="1" applyBorder="1" applyAlignment="1">
      <alignment horizontal="center" vertical="center" wrapText="1"/>
    </xf>
    <xf numFmtId="0" fontId="71" fillId="28" borderId="11" xfId="0" applyFont="1" applyFill="1" applyBorder="1" applyAlignment="1">
      <alignment horizontal="center" vertical="center" wrapText="1"/>
    </xf>
    <xf numFmtId="0" fontId="71" fillId="28" borderId="6" xfId="0" applyFont="1" applyFill="1" applyBorder="1" applyAlignment="1">
      <alignment horizontal="center" vertical="center" wrapText="1"/>
    </xf>
    <xf numFmtId="2" fontId="71" fillId="28" borderId="24" xfId="0" applyNumberFormat="1" applyFont="1" applyFill="1" applyBorder="1" applyAlignment="1">
      <alignment horizontal="center" vertical="center" wrapText="1"/>
    </xf>
    <xf numFmtId="0" fontId="73" fillId="0" borderId="42" xfId="0" applyFont="1" applyBorder="1" applyAlignment="1">
      <alignment vertical="center"/>
    </xf>
    <xf numFmtId="0" fontId="73" fillId="0" borderId="43" xfId="0" applyFont="1" applyBorder="1" applyAlignment="1">
      <alignment vertical="center"/>
    </xf>
    <xf numFmtId="0" fontId="73" fillId="0" borderId="46" xfId="0" applyFont="1" applyBorder="1" applyAlignment="1">
      <alignment vertical="center"/>
    </xf>
    <xf numFmtId="0" fontId="73" fillId="0" borderId="21" xfId="0" applyFont="1" applyBorder="1" applyAlignment="1">
      <alignment horizontal="center" vertical="center" wrapText="1"/>
    </xf>
    <xf numFmtId="0" fontId="73" fillId="0" borderId="22" xfId="0" applyFont="1" applyBorder="1" applyAlignment="1">
      <alignment vertical="center" wrapText="1"/>
    </xf>
    <xf numFmtId="0" fontId="73" fillId="0" borderId="22" xfId="0" applyFont="1" applyBorder="1" applyAlignment="1">
      <alignment horizontal="center" vertical="center" wrapText="1"/>
    </xf>
    <xf numFmtId="2" fontId="73" fillId="0" borderId="22" xfId="0" applyNumberFormat="1" applyFont="1" applyBorder="1" applyAlignment="1">
      <alignment horizontal="center" vertical="center" wrapText="1"/>
    </xf>
    <xf numFmtId="186" fontId="73" fillId="0" borderId="22" xfId="0" applyNumberFormat="1" applyFont="1" applyBorder="1" applyAlignment="1">
      <alignment vertical="center" wrapText="1"/>
    </xf>
    <xf numFmtId="0" fontId="73" fillId="0" borderId="23" xfId="0" applyFont="1" applyBorder="1" applyAlignment="1">
      <alignment horizontal="center" vertical="center" wrapText="1"/>
    </xf>
    <xf numFmtId="2" fontId="71" fillId="0" borderId="21" xfId="0" applyNumberFormat="1" applyFont="1" applyBorder="1" applyAlignment="1">
      <alignment vertical="center" wrapText="1"/>
    </xf>
    <xf numFmtId="187" fontId="71" fillId="0" borderId="23" xfId="0" applyNumberFormat="1" applyFont="1" applyBorder="1" applyAlignment="1">
      <alignment horizontal="right" vertical="center" wrapText="1"/>
    </xf>
    <xf numFmtId="2" fontId="73" fillId="0" borderId="21" xfId="0" applyNumberFormat="1" applyFont="1" applyBorder="1" applyAlignment="1">
      <alignment horizontal="center" vertical="center" wrapText="1"/>
    </xf>
    <xf numFmtId="187" fontId="71" fillId="0" borderId="23" xfId="0" applyNumberFormat="1" applyFont="1" applyBorder="1" applyAlignment="1">
      <alignment vertical="center" wrapText="1"/>
    </xf>
    <xf numFmtId="0" fontId="71" fillId="0" borderId="0" xfId="0" applyFont="1" applyAlignment="1">
      <alignment vertical="center" wrapText="1"/>
    </xf>
    <xf numFmtId="0" fontId="70" fillId="0" borderId="5" xfId="0" applyFont="1" applyBorder="1" applyAlignment="1">
      <alignment horizontal="center" vertical="center" wrapText="1"/>
    </xf>
    <xf numFmtId="0" fontId="69" fillId="0" borderId="1" xfId="0" applyFont="1" applyBorder="1" applyAlignment="1">
      <alignment vertical="center"/>
    </xf>
    <xf numFmtId="0" fontId="70" fillId="0" borderId="1" xfId="0" applyFont="1" applyBorder="1" applyAlignment="1">
      <alignment horizontal="center"/>
    </xf>
    <xf numFmtId="2" fontId="70" fillId="0" borderId="1" xfId="0" applyNumberFormat="1" applyFont="1" applyBorder="1" applyAlignment="1">
      <alignment horizontal="center"/>
    </xf>
    <xf numFmtId="188" fontId="70" fillId="0" borderId="1" xfId="0" applyNumberFormat="1" applyFont="1" applyBorder="1" applyAlignment="1">
      <alignment vertical="center" wrapText="1"/>
    </xf>
    <xf numFmtId="188" fontId="70" fillId="0" borderId="2" xfId="0" applyNumberFormat="1" applyFont="1" applyBorder="1" applyAlignment="1">
      <alignment vertical="center" wrapText="1"/>
    </xf>
    <xf numFmtId="2" fontId="69" fillId="0" borderId="5" xfId="0" applyNumberFormat="1" applyFont="1" applyBorder="1" applyAlignment="1">
      <alignment horizontal="center" vertical="center" wrapText="1"/>
    </xf>
    <xf numFmtId="0" fontId="69" fillId="0" borderId="0" xfId="0" applyFont="1" applyAlignment="1">
      <alignment vertical="center" wrapText="1"/>
    </xf>
    <xf numFmtId="0" fontId="69" fillId="0" borderId="1" xfId="0" applyFont="1" applyBorder="1" applyAlignment="1">
      <alignment vertical="center" wrapText="1"/>
    </xf>
    <xf numFmtId="0" fontId="73" fillId="0" borderId="5" xfId="0" applyFont="1" applyBorder="1" applyAlignment="1">
      <alignment horizontal="center" vertical="center" wrapText="1"/>
    </xf>
    <xf numFmtId="0" fontId="73" fillId="0" borderId="1" xfId="0" applyFont="1" applyBorder="1" applyAlignment="1">
      <alignment vertical="center" wrapText="1"/>
    </xf>
    <xf numFmtId="0" fontId="73" fillId="0" borderId="1" xfId="0" applyFont="1" applyBorder="1" applyAlignment="1">
      <alignment horizontal="center" vertical="center" wrapText="1"/>
    </xf>
    <xf numFmtId="2" fontId="73" fillId="0" borderId="1" xfId="0" applyNumberFormat="1" applyFont="1" applyBorder="1" applyAlignment="1">
      <alignment horizontal="center" vertical="center" wrapText="1"/>
    </xf>
    <xf numFmtId="188" fontId="73" fillId="0" borderId="2" xfId="0" applyNumberFormat="1" applyFont="1" applyBorder="1" applyAlignment="1">
      <alignment vertical="center" wrapText="1"/>
    </xf>
    <xf numFmtId="0" fontId="73" fillId="0" borderId="2" xfId="0" applyFont="1" applyBorder="1" applyAlignment="1">
      <alignment vertical="center" wrapText="1"/>
    </xf>
    <xf numFmtId="0" fontId="70" fillId="0" borderId="1" xfId="0" applyFont="1" applyBorder="1" applyAlignment="1">
      <alignment vertical="center" wrapText="1"/>
    </xf>
    <xf numFmtId="0" fontId="70" fillId="0" borderId="1" xfId="0" applyFont="1" applyBorder="1" applyAlignment="1">
      <alignment horizontal="center" vertical="center" wrapText="1"/>
    </xf>
    <xf numFmtId="2" fontId="70" fillId="0" borderId="1" xfId="0" applyNumberFormat="1" applyFont="1" applyBorder="1" applyAlignment="1">
      <alignment horizontal="center" vertical="center" wrapText="1"/>
    </xf>
    <xf numFmtId="2" fontId="70" fillId="0" borderId="1" xfId="0" applyNumberFormat="1" applyFont="1" applyBorder="1" applyAlignment="1">
      <alignment horizontal="center" vertical="center"/>
    </xf>
    <xf numFmtId="186" fontId="73" fillId="0" borderId="1" xfId="0" applyNumberFormat="1" applyFont="1" applyBorder="1" applyAlignment="1">
      <alignment vertical="center" wrapText="1"/>
    </xf>
    <xf numFmtId="186" fontId="73" fillId="0" borderId="2" xfId="0" applyNumberFormat="1" applyFont="1" applyBorder="1" applyAlignment="1">
      <alignment vertical="center" wrapText="1"/>
    </xf>
    <xf numFmtId="175" fontId="70" fillId="0" borderId="1" xfId="0" applyNumberFormat="1" applyFont="1" applyBorder="1" applyAlignment="1">
      <alignment horizontal="center" vertical="center"/>
    </xf>
    <xf numFmtId="0" fontId="69" fillId="0" borderId="5" xfId="0" applyFont="1" applyBorder="1" applyAlignment="1">
      <alignment horizontal="center" vertical="center" wrapText="1"/>
    </xf>
    <xf numFmtId="0" fontId="69" fillId="0" borderId="1" xfId="0" applyFont="1" applyBorder="1" applyAlignment="1">
      <alignment horizontal="center" vertical="center"/>
    </xf>
    <xf numFmtId="2" fontId="69" fillId="0" borderId="1" xfId="0" applyNumberFormat="1" applyFont="1" applyBorder="1" applyAlignment="1">
      <alignment horizontal="center" vertical="center"/>
    </xf>
    <xf numFmtId="188" fontId="69" fillId="0" borderId="1" xfId="0" applyNumberFormat="1" applyFont="1" applyBorder="1" applyAlignment="1">
      <alignment vertical="center" wrapText="1"/>
    </xf>
    <xf numFmtId="188" fontId="69" fillId="0" borderId="2" xfId="0" applyNumberFormat="1" applyFont="1" applyBorder="1" applyAlignment="1">
      <alignment vertical="center" wrapText="1"/>
    </xf>
    <xf numFmtId="2" fontId="73" fillId="0" borderId="5" xfId="0" applyNumberFormat="1" applyFont="1" applyBorder="1" applyAlignment="1">
      <alignment horizontal="center" vertical="center" wrapText="1"/>
    </xf>
    <xf numFmtId="0" fontId="70" fillId="0" borderId="7" xfId="0" applyFont="1" applyBorder="1" applyAlignment="1">
      <alignment vertical="center" wrapText="1"/>
    </xf>
    <xf numFmtId="0" fontId="70" fillId="0" borderId="7" xfId="0" applyFont="1" applyBorder="1" applyAlignment="1">
      <alignment horizontal="left" vertical="center" wrapText="1"/>
    </xf>
    <xf numFmtId="2" fontId="71" fillId="0" borderId="5" xfId="0" applyNumberFormat="1" applyFont="1" applyBorder="1" applyAlignment="1">
      <alignment horizontal="center" vertical="center" wrapText="1"/>
    </xf>
    <xf numFmtId="186" fontId="73" fillId="0" borderId="28" xfId="0" applyNumberFormat="1" applyFont="1" applyBorder="1" applyAlignment="1">
      <alignment vertical="center" wrapText="1"/>
    </xf>
    <xf numFmtId="2" fontId="70" fillId="0" borderId="34" xfId="0" applyNumberFormat="1" applyFont="1" applyBorder="1" applyAlignment="1">
      <alignment horizontal="center" vertical="center" wrapText="1"/>
    </xf>
    <xf numFmtId="188" fontId="70" fillId="0" borderId="34" xfId="0" applyNumberFormat="1" applyFont="1" applyBorder="1" applyAlignment="1">
      <alignment vertical="center" wrapText="1"/>
    </xf>
    <xf numFmtId="2" fontId="69" fillId="0" borderId="31" xfId="0" applyNumberFormat="1" applyFont="1" applyBorder="1" applyAlignment="1">
      <alignment horizontal="center" vertical="center" wrapText="1"/>
    </xf>
    <xf numFmtId="0" fontId="69" fillId="0" borderId="1" xfId="0" applyFont="1" applyBorder="1" applyAlignment="1">
      <alignment horizontal="center" vertical="center" wrapText="1"/>
    </xf>
    <xf numFmtId="0" fontId="69" fillId="0" borderId="34" xfId="0" applyFont="1" applyBorder="1" applyAlignment="1">
      <alignment vertical="center" wrapText="1"/>
    </xf>
    <xf numFmtId="0" fontId="69" fillId="0" borderId="34" xfId="0" applyFont="1" applyBorder="1" applyAlignment="1">
      <alignment horizontal="center" vertical="center" wrapText="1"/>
    </xf>
    <xf numFmtId="188" fontId="70" fillId="0" borderId="65" xfId="0" applyNumberFormat="1" applyFont="1" applyBorder="1" applyAlignment="1">
      <alignment vertical="center" wrapText="1"/>
    </xf>
    <xf numFmtId="0" fontId="73" fillId="0" borderId="24" xfId="0" applyFont="1" applyBorder="1" applyAlignment="1">
      <alignment horizontal="center" vertical="center" wrapText="1"/>
    </xf>
    <xf numFmtId="0" fontId="73" fillId="0" borderId="11" xfId="0" applyFont="1" applyBorder="1" applyAlignment="1">
      <alignment horizontal="center" vertical="center" wrapText="1"/>
    </xf>
    <xf numFmtId="2" fontId="73" fillId="0" borderId="11" xfId="0" applyNumberFormat="1" applyFont="1" applyBorder="1" applyAlignment="1">
      <alignment horizontal="center" vertical="center" wrapText="1"/>
    </xf>
    <xf numFmtId="188" fontId="73" fillId="0" borderId="6" xfId="0" applyNumberFormat="1" applyFont="1" applyBorder="1" applyAlignment="1">
      <alignment vertical="center" wrapText="1"/>
    </xf>
    <xf numFmtId="2" fontId="73" fillId="0" borderId="24" xfId="0" applyNumberFormat="1" applyFont="1" applyBorder="1" applyAlignment="1">
      <alignment horizontal="center" vertical="center" wrapText="1"/>
    </xf>
    <xf numFmtId="2" fontId="71" fillId="0" borderId="24" xfId="0" applyNumberFormat="1" applyFont="1" applyBorder="1" applyAlignment="1">
      <alignment vertical="center" wrapText="1"/>
    </xf>
    <xf numFmtId="0" fontId="70" fillId="0" borderId="3" xfId="0" applyFont="1" applyBorder="1" applyAlignment="1">
      <alignment vertical="center" wrapText="1"/>
    </xf>
    <xf numFmtId="0" fontId="70" fillId="0" borderId="0" xfId="0" applyFont="1" applyAlignment="1">
      <alignment vertical="center" wrapText="1"/>
    </xf>
    <xf numFmtId="0" fontId="70" fillId="0" borderId="4" xfId="0" applyFont="1" applyBorder="1" applyAlignment="1">
      <alignment vertical="center" wrapText="1"/>
    </xf>
    <xf numFmtId="0" fontId="71" fillId="29" borderId="48" xfId="0" applyFont="1" applyFill="1" applyBorder="1" applyAlignment="1">
      <alignment horizontal="center" vertical="center"/>
    </xf>
    <xf numFmtId="0" fontId="71" fillId="29" borderId="50" xfId="0" applyFont="1" applyFill="1" applyBorder="1" applyAlignment="1">
      <alignment horizontal="center" vertical="center"/>
    </xf>
    <xf numFmtId="0" fontId="71" fillId="29" borderId="21" xfId="0" applyFont="1" applyFill="1" applyBorder="1" applyAlignment="1">
      <alignment horizontal="center" vertical="center"/>
    </xf>
    <xf numFmtId="2" fontId="69" fillId="29" borderId="22" xfId="0" applyNumberFormat="1" applyFont="1" applyFill="1" applyBorder="1" applyAlignment="1">
      <alignment horizontal="center" vertical="center"/>
    </xf>
    <xf numFmtId="0" fontId="71" fillId="29" borderId="22" xfId="0" applyFont="1" applyFill="1" applyBorder="1" applyAlignment="1">
      <alignment vertical="center"/>
    </xf>
    <xf numFmtId="185" fontId="71" fillId="29" borderId="23" xfId="0" applyNumberFormat="1" applyFont="1" applyFill="1" applyBorder="1" applyAlignment="1">
      <alignment vertical="center"/>
    </xf>
    <xf numFmtId="2" fontId="71" fillId="29" borderId="21" xfId="0" applyNumberFormat="1" applyFont="1" applyFill="1" applyBorder="1" applyAlignment="1">
      <alignment vertical="center"/>
    </xf>
    <xf numFmtId="185" fontId="71" fillId="29" borderId="49" xfId="0" applyNumberFormat="1" applyFont="1" applyFill="1" applyBorder="1" applyAlignment="1">
      <alignment vertical="center"/>
    </xf>
    <xf numFmtId="2" fontId="71" fillId="29" borderId="21" xfId="66" applyNumberFormat="1" applyFont="1" applyFill="1" applyBorder="1" applyAlignment="1">
      <alignment vertical="center"/>
    </xf>
    <xf numFmtId="0" fontId="71" fillId="0" borderId="32" xfId="0" applyFont="1" applyBorder="1" applyAlignment="1">
      <alignment horizontal="center" vertical="center"/>
    </xf>
    <xf numFmtId="0" fontId="71" fillId="0" borderId="54" xfId="0" applyFont="1" applyBorder="1" applyAlignment="1">
      <alignment horizontal="center" vertical="center"/>
    </xf>
    <xf numFmtId="0" fontId="71" fillId="0" borderId="31" xfId="0" applyFont="1" applyBorder="1" applyAlignment="1">
      <alignment horizontal="center" vertical="center"/>
    </xf>
    <xf numFmtId="9" fontId="70" fillId="0" borderId="1" xfId="90" applyFont="1" applyBorder="1" applyAlignment="1">
      <alignment horizontal="center" vertical="center"/>
    </xf>
    <xf numFmtId="0" fontId="71" fillId="0" borderId="1" xfId="0" applyFont="1" applyBorder="1" applyAlignment="1">
      <alignment vertical="center"/>
    </xf>
    <xf numFmtId="185" fontId="69" fillId="0" borderId="2" xfId="0" applyNumberFormat="1" applyFont="1" applyBorder="1" applyAlignment="1">
      <alignment vertical="center"/>
    </xf>
    <xf numFmtId="2" fontId="71" fillId="0" borderId="5" xfId="0" applyNumberFormat="1" applyFont="1" applyBorder="1" applyAlignment="1">
      <alignment vertical="center"/>
    </xf>
    <xf numFmtId="185" fontId="69" fillId="0" borderId="28" xfId="0" applyNumberFormat="1" applyFont="1" applyBorder="1" applyAlignment="1">
      <alignment vertical="center"/>
    </xf>
    <xf numFmtId="0" fontId="71" fillId="29" borderId="32" xfId="0" applyFont="1" applyFill="1" applyBorder="1" applyAlignment="1">
      <alignment horizontal="center" vertical="center"/>
    </xf>
    <xf numFmtId="0" fontId="71" fillId="29" borderId="54" xfId="0" applyFont="1" applyFill="1" applyBorder="1" applyAlignment="1">
      <alignment horizontal="center" vertical="center"/>
    </xf>
    <xf numFmtId="0" fontId="71" fillId="29" borderId="31" xfId="0" applyFont="1" applyFill="1" applyBorder="1" applyAlignment="1">
      <alignment horizontal="center" vertical="center"/>
    </xf>
    <xf numFmtId="9" fontId="70" fillId="29" borderId="1" xfId="90" applyFont="1" applyFill="1" applyBorder="1" applyAlignment="1">
      <alignment horizontal="center" vertical="center"/>
    </xf>
    <xf numFmtId="0" fontId="69" fillId="29" borderId="1" xfId="0" applyFont="1" applyFill="1" applyBorder="1" applyAlignment="1">
      <alignment vertical="center"/>
    </xf>
    <xf numFmtId="2" fontId="69" fillId="29" borderId="5" xfId="0" applyNumberFormat="1" applyFont="1" applyFill="1" applyBorder="1" applyAlignment="1">
      <alignment vertical="center"/>
    </xf>
    <xf numFmtId="2" fontId="69" fillId="0" borderId="5" xfId="0" applyNumberFormat="1" applyFont="1" applyBorder="1" applyAlignment="1">
      <alignment vertical="center"/>
    </xf>
    <xf numFmtId="0" fontId="71" fillId="29" borderId="5" xfId="0" applyFont="1" applyFill="1" applyBorder="1" applyAlignment="1">
      <alignment horizontal="center" vertical="center"/>
    </xf>
    <xf numFmtId="9" fontId="69" fillId="29" borderId="1" xfId="90" applyFont="1" applyFill="1" applyBorder="1" applyAlignment="1">
      <alignment horizontal="center" vertical="center"/>
    </xf>
    <xf numFmtId="0" fontId="71" fillId="29" borderId="1" xfId="0" applyFont="1" applyFill="1" applyBorder="1" applyAlignment="1">
      <alignment vertical="center"/>
    </xf>
    <xf numFmtId="185" fontId="71" fillId="29" borderId="2" xfId="0" applyNumberFormat="1" applyFont="1" applyFill="1" applyBorder="1" applyAlignment="1">
      <alignment vertical="center"/>
    </xf>
    <xf numFmtId="185" fontId="71" fillId="29" borderId="28" xfId="0" applyNumberFormat="1" applyFont="1" applyFill="1" applyBorder="1" applyAlignment="1">
      <alignment vertical="center"/>
    </xf>
    <xf numFmtId="0" fontId="73" fillId="0" borderId="55" xfId="0" applyFont="1" applyBorder="1" applyAlignment="1">
      <alignment horizontal="center" vertical="center"/>
    </xf>
    <xf numFmtId="0" fontId="73" fillId="0" borderId="56" xfId="0" applyFont="1" applyBorder="1" applyAlignment="1">
      <alignment horizontal="center" vertical="center"/>
    </xf>
    <xf numFmtId="0" fontId="69" fillId="0" borderId="55" xfId="0" applyFont="1" applyBorder="1" applyAlignment="1">
      <alignment horizontal="center" vertical="center"/>
    </xf>
    <xf numFmtId="2" fontId="70" fillId="0" borderId="11" xfId="66" applyNumberFormat="1" applyFont="1" applyBorder="1" applyAlignment="1">
      <alignment horizontal="center" vertical="center"/>
    </xf>
    <xf numFmtId="0" fontId="71" fillId="0" borderId="11" xfId="0" applyFont="1" applyBorder="1" applyAlignment="1">
      <alignment vertical="center"/>
    </xf>
    <xf numFmtId="185" fontId="69" fillId="0" borderId="6" xfId="0" applyNumberFormat="1" applyFont="1" applyBorder="1" applyAlignment="1">
      <alignment vertical="center"/>
    </xf>
    <xf numFmtId="2" fontId="69" fillId="0" borderId="24" xfId="0" applyNumberFormat="1" applyFont="1" applyBorder="1" applyAlignment="1">
      <alignment vertical="center"/>
    </xf>
    <xf numFmtId="184" fontId="69" fillId="0" borderId="6" xfId="0" applyNumberFormat="1" applyFont="1" applyBorder="1" applyAlignment="1">
      <alignment vertical="center"/>
    </xf>
    <xf numFmtId="184" fontId="69" fillId="0" borderId="57" xfId="0" applyNumberFormat="1" applyFont="1" applyBorder="1" applyAlignment="1">
      <alignment vertical="center"/>
    </xf>
    <xf numFmtId="184" fontId="69" fillId="0" borderId="56" xfId="0" applyNumberFormat="1" applyFont="1" applyBorder="1" applyAlignment="1">
      <alignment vertical="center"/>
    </xf>
    <xf numFmtId="0" fontId="73" fillId="29" borderId="58" xfId="0" applyFont="1" applyFill="1" applyBorder="1" applyAlignment="1">
      <alignment horizontal="center" vertical="center"/>
    </xf>
    <xf numFmtId="0" fontId="73" fillId="29" borderId="59" xfId="0" applyFont="1" applyFill="1" applyBorder="1" applyAlignment="1">
      <alignment horizontal="center" vertical="center"/>
    </xf>
    <xf numFmtId="0" fontId="69" fillId="29" borderId="58" xfId="0" applyFont="1" applyFill="1" applyBorder="1" applyAlignment="1">
      <alignment horizontal="center" vertical="center"/>
    </xf>
    <xf numFmtId="0" fontId="69" fillId="29" borderId="30" xfId="0" applyFont="1" applyFill="1" applyBorder="1" applyAlignment="1">
      <alignment horizontal="center" vertical="center"/>
    </xf>
    <xf numFmtId="0" fontId="69" fillId="29" borderId="60" xfId="0" applyFont="1" applyFill="1" applyBorder="1" applyAlignment="1">
      <alignment horizontal="center" vertical="center"/>
    </xf>
    <xf numFmtId="185" fontId="71" fillId="29" borderId="61" xfId="0" applyNumberFormat="1" applyFont="1" applyFill="1" applyBorder="1" applyAlignment="1">
      <alignment vertical="center"/>
    </xf>
    <xf numFmtId="185" fontId="71" fillId="29" borderId="30" xfId="0" applyNumberFormat="1" applyFont="1" applyFill="1" applyBorder="1" applyAlignment="1">
      <alignment vertical="center"/>
    </xf>
    <xf numFmtId="2" fontId="69" fillId="29" borderId="62" xfId="0" applyNumberFormat="1" applyFont="1" applyFill="1" applyBorder="1" applyAlignment="1">
      <alignment vertical="center"/>
    </xf>
    <xf numFmtId="0" fontId="73" fillId="0" borderId="32" xfId="0" applyFont="1" applyBorder="1" applyAlignment="1">
      <alignment horizontal="center" vertical="center"/>
    </xf>
    <xf numFmtId="0" fontId="73" fillId="0" borderId="54" xfId="0" applyFont="1" applyBorder="1" applyAlignment="1">
      <alignment horizontal="center" vertical="center"/>
    </xf>
    <xf numFmtId="0" fontId="69" fillId="0" borderId="32" xfId="0" applyFont="1" applyBorder="1" applyAlignment="1">
      <alignment horizontal="center" vertical="center"/>
    </xf>
    <xf numFmtId="0" fontId="69" fillId="0" borderId="28" xfId="0" applyFont="1" applyBorder="1" applyAlignment="1">
      <alignment horizontal="center" vertical="center"/>
    </xf>
    <xf numFmtId="0" fontId="69" fillId="0" borderId="8" xfId="0" applyFont="1" applyBorder="1" applyAlignment="1">
      <alignment horizontal="center" vertical="center"/>
    </xf>
    <xf numFmtId="0" fontId="73" fillId="29" borderId="55" xfId="0" applyFont="1" applyFill="1" applyBorder="1" applyAlignment="1">
      <alignment horizontal="center" vertical="center"/>
    </xf>
    <xf numFmtId="0" fontId="73" fillId="29" borderId="56" xfId="0" applyFont="1" applyFill="1" applyBorder="1" applyAlignment="1">
      <alignment horizontal="center" vertical="center"/>
    </xf>
    <xf numFmtId="0" fontId="69" fillId="29" borderId="55" xfId="0" applyFont="1" applyFill="1" applyBorder="1" applyAlignment="1">
      <alignment horizontal="center" vertical="center"/>
    </xf>
    <xf numFmtId="0" fontId="69" fillId="29" borderId="57" xfId="0" applyFont="1" applyFill="1" applyBorder="1" applyAlignment="1">
      <alignment horizontal="center" vertical="center"/>
    </xf>
    <xf numFmtId="0" fontId="69" fillId="29" borderId="63" xfId="0" applyFont="1" applyFill="1" applyBorder="1" applyAlignment="1">
      <alignment horizontal="center" vertical="center"/>
    </xf>
    <xf numFmtId="185" fontId="71" fillId="29" borderId="6" xfId="0" applyNumberFormat="1" applyFont="1" applyFill="1" applyBorder="1" applyAlignment="1">
      <alignment vertical="center"/>
    </xf>
    <xf numFmtId="185" fontId="71" fillId="29" borderId="57" xfId="0" applyNumberFormat="1" applyFont="1" applyFill="1" applyBorder="1" applyAlignment="1">
      <alignment vertical="center"/>
    </xf>
    <xf numFmtId="2" fontId="69" fillId="29" borderId="24" xfId="0" applyNumberFormat="1" applyFont="1" applyFill="1" applyBorder="1" applyAlignment="1">
      <alignment vertical="center"/>
    </xf>
    <xf numFmtId="0" fontId="71" fillId="0" borderId="5" xfId="0" applyFont="1" applyBorder="1" applyAlignment="1">
      <alignment horizontal="center" vertical="center"/>
    </xf>
    <xf numFmtId="185" fontId="71" fillId="0" borderId="2" xfId="0" applyNumberFormat="1" applyFont="1" applyBorder="1" applyAlignment="1">
      <alignment vertical="center"/>
    </xf>
    <xf numFmtId="169" fontId="71" fillId="0" borderId="2" xfId="0" applyNumberFormat="1" applyFont="1" applyBorder="1" applyAlignment="1">
      <alignment vertical="center"/>
    </xf>
    <xf numFmtId="169" fontId="71" fillId="0" borderId="28" xfId="0" applyNumberFormat="1" applyFont="1" applyBorder="1" applyAlignment="1">
      <alignment vertical="center"/>
    </xf>
    <xf numFmtId="0" fontId="71" fillId="29" borderId="24" xfId="0" applyFont="1" applyFill="1" applyBorder="1" applyAlignment="1">
      <alignment horizontal="center" vertical="center"/>
    </xf>
    <xf numFmtId="2" fontId="69" fillId="29" borderId="11" xfId="0" applyNumberFormat="1" applyFont="1" applyFill="1" applyBorder="1" applyAlignment="1">
      <alignment horizontal="center" vertical="center"/>
    </xf>
    <xf numFmtId="0" fontId="71" fillId="29" borderId="11" xfId="0" applyFont="1" applyFill="1" applyBorder="1" applyAlignment="1">
      <alignment vertical="center"/>
    </xf>
    <xf numFmtId="0" fontId="69" fillId="29" borderId="40" xfId="0" applyFont="1" applyFill="1" applyBorder="1" applyAlignment="1">
      <alignment vertical="center"/>
    </xf>
    <xf numFmtId="0" fontId="70" fillId="0" borderId="3" xfId="0" applyFont="1" applyBorder="1" applyAlignment="1">
      <alignment horizontal="center" vertical="center"/>
    </xf>
    <xf numFmtId="0" fontId="69" fillId="0" borderId="0" xfId="0" applyFont="1" applyAlignment="1">
      <alignment horizontal="center" vertical="center"/>
    </xf>
    <xf numFmtId="2" fontId="69" fillId="0" borderId="0" xfId="0" applyNumberFormat="1" applyFont="1" applyAlignment="1">
      <alignment horizontal="center" vertical="center"/>
    </xf>
    <xf numFmtId="2" fontId="69" fillId="0" borderId="0" xfId="0" applyNumberFormat="1" applyFont="1" applyAlignment="1">
      <alignment vertical="center"/>
    </xf>
    <xf numFmtId="189" fontId="69" fillId="0" borderId="0" xfId="93" applyFont="1" applyBorder="1" applyAlignment="1">
      <alignment vertical="center"/>
    </xf>
    <xf numFmtId="0" fontId="69" fillId="0" borderId="4" xfId="0" applyFont="1" applyBorder="1" applyAlignment="1">
      <alignment vertical="center"/>
    </xf>
    <xf numFmtId="0" fontId="69" fillId="0" borderId="30" xfId="0" applyFont="1" applyBorder="1" applyAlignment="1">
      <alignment vertical="center"/>
    </xf>
    <xf numFmtId="2" fontId="69" fillId="0" borderId="30" xfId="0" applyNumberFormat="1" applyFont="1" applyBorder="1" applyAlignment="1">
      <alignment vertical="center"/>
    </xf>
    <xf numFmtId="0" fontId="71" fillId="0" borderId="64" xfId="0" applyFont="1" applyBorder="1" applyAlignment="1">
      <alignment horizontal="center" vertical="center"/>
    </xf>
    <xf numFmtId="0" fontId="71" fillId="0" borderId="0" xfId="0" applyFont="1" applyAlignment="1">
      <alignment horizontal="center" vertical="center"/>
    </xf>
    <xf numFmtId="2" fontId="71" fillId="0" borderId="0" xfId="0" applyNumberFormat="1" applyFont="1" applyAlignment="1">
      <alignment horizontal="center" vertical="center"/>
    </xf>
    <xf numFmtId="0" fontId="71" fillId="0" borderId="0" xfId="0" applyFont="1" applyAlignment="1">
      <alignment horizontal="center" vertical="center"/>
    </xf>
    <xf numFmtId="0" fontId="71" fillId="0" borderId="4" xfId="0" applyFont="1" applyBorder="1" applyAlignment="1">
      <alignment vertical="center"/>
    </xf>
    <xf numFmtId="0" fontId="70" fillId="0" borderId="44" xfId="0" applyFont="1" applyBorder="1" applyAlignment="1">
      <alignment horizontal="center" vertical="center"/>
    </xf>
    <xf numFmtId="0" fontId="71" fillId="0" borderId="45" xfId="0" applyFont="1" applyBorder="1" applyAlignment="1">
      <alignment horizontal="center" vertical="center"/>
    </xf>
    <xf numFmtId="2" fontId="71" fillId="0" borderId="45" xfId="0" applyNumberFormat="1" applyFont="1" applyBorder="1" applyAlignment="1">
      <alignment horizontal="center" vertical="center"/>
    </xf>
    <xf numFmtId="0" fontId="71" fillId="0" borderId="45" xfId="0" applyFont="1" applyBorder="1" applyAlignment="1">
      <alignment vertical="center"/>
    </xf>
    <xf numFmtId="0" fontId="71" fillId="0" borderId="45" xfId="0" applyFont="1" applyBorder="1" applyAlignment="1">
      <alignment horizontal="center" vertical="center"/>
    </xf>
    <xf numFmtId="0" fontId="71" fillId="0" borderId="33" xfId="0" applyFont="1" applyBorder="1" applyAlignment="1">
      <alignment vertical="center"/>
    </xf>
    <xf numFmtId="0" fontId="70" fillId="0" borderId="0" xfId="0" applyFont="1" applyAlignment="1">
      <alignment horizontal="center" vertical="center"/>
    </xf>
    <xf numFmtId="190" fontId="69" fillId="0" borderId="0" xfId="0" applyNumberFormat="1" applyFont="1" applyAlignment="1">
      <alignment vertical="center"/>
    </xf>
    <xf numFmtId="41" fontId="69" fillId="0" borderId="0" xfId="92" applyFont="1" applyAlignment="1">
      <alignment vertical="center"/>
    </xf>
    <xf numFmtId="187" fontId="69" fillId="0" borderId="0" xfId="0" applyNumberFormat="1" applyFont="1" applyAlignment="1">
      <alignment vertical="center"/>
    </xf>
    <xf numFmtId="185" fontId="69" fillId="0" borderId="0" xfId="0" applyNumberFormat="1" applyFont="1" applyAlignment="1">
      <alignment vertical="center"/>
    </xf>
    <xf numFmtId="185" fontId="69" fillId="0" borderId="0" xfId="94" applyNumberFormat="1" applyFont="1" applyAlignment="1">
      <alignment vertical="center"/>
    </xf>
    <xf numFmtId="0" fontId="70" fillId="0" borderId="28" xfId="0" applyFont="1" applyBorder="1" applyAlignment="1">
      <alignment vertical="center"/>
    </xf>
    <xf numFmtId="0" fontId="70" fillId="0" borderId="8" xfId="0" applyFont="1" applyBorder="1" applyAlignment="1">
      <alignment vertical="center"/>
    </xf>
    <xf numFmtId="0" fontId="70" fillId="25" borderId="1" xfId="0" applyFont="1" applyFill="1" applyBorder="1" applyAlignment="1">
      <alignment vertical="center"/>
    </xf>
    <xf numFmtId="0" fontId="70" fillId="25" borderId="28" xfId="0" applyFont="1" applyFill="1" applyBorder="1" applyAlignment="1">
      <alignment vertical="center"/>
    </xf>
    <xf numFmtId="0" fontId="70" fillId="25" borderId="8" xfId="0" applyFont="1" applyFill="1" applyBorder="1" applyAlignment="1">
      <alignment vertical="center"/>
    </xf>
    <xf numFmtId="0" fontId="70" fillId="0" borderId="70" xfId="0" applyFont="1" applyBorder="1" applyAlignment="1">
      <alignment horizontal="center" vertical="center"/>
    </xf>
    <xf numFmtId="0" fontId="70" fillId="0" borderId="72" xfId="0" applyFont="1" applyBorder="1" applyAlignment="1">
      <alignment horizontal="center" vertical="center"/>
    </xf>
    <xf numFmtId="0" fontId="70" fillId="0" borderId="73" xfId="0" applyFont="1" applyBorder="1" applyAlignment="1">
      <alignment horizontal="center" vertical="center"/>
    </xf>
    <xf numFmtId="0" fontId="70" fillId="0" borderId="60" xfId="0" applyFont="1" applyBorder="1" applyAlignment="1">
      <alignment horizontal="center" vertical="center"/>
    </xf>
    <xf numFmtId="0" fontId="70" fillId="25" borderId="0" xfId="0" applyFont="1" applyFill="1"/>
    <xf numFmtId="0" fontId="70" fillId="25" borderId="0" xfId="0" applyFont="1" applyFill="1" applyAlignment="1">
      <alignment horizontal="center" vertical="center"/>
    </xf>
    <xf numFmtId="9" fontId="71" fillId="25" borderId="0" xfId="6" applyNumberFormat="1" applyFont="1" applyFill="1" applyAlignment="1">
      <alignment horizontal="right" vertical="center"/>
    </xf>
    <xf numFmtId="0" fontId="70" fillId="0" borderId="0" xfId="0" applyFont="1" applyAlignment="1">
      <alignment horizontal="right" vertical="center"/>
    </xf>
    <xf numFmtId="169" fontId="71" fillId="25" borderId="0" xfId="6" applyNumberFormat="1" applyFont="1" applyFill="1" applyAlignment="1">
      <alignment horizontal="right" vertical="center"/>
    </xf>
    <xf numFmtId="0" fontId="70" fillId="0" borderId="0" xfId="0" applyFont="1"/>
    <xf numFmtId="172" fontId="71" fillId="25" borderId="0" xfId="6" applyNumberFormat="1" applyFont="1" applyFill="1" applyAlignment="1">
      <alignment horizontal="right" vertical="center"/>
    </xf>
    <xf numFmtId="165" fontId="71" fillId="25" borderId="0" xfId="1" applyFont="1" applyFill="1" applyAlignment="1">
      <alignment horizontal="right" vertical="center"/>
    </xf>
    <xf numFmtId="0" fontId="69" fillId="25" borderId="0" xfId="6" applyFont="1" applyFill="1"/>
    <xf numFmtId="165" fontId="69" fillId="25" borderId="0" xfId="1" applyFont="1" applyFill="1"/>
    <xf numFmtId="165" fontId="69" fillId="25" borderId="0" xfId="6" applyNumberFormat="1" applyFont="1" applyFill="1"/>
    <xf numFmtId="2" fontId="70" fillId="25" borderId="0" xfId="0" applyNumberFormat="1" applyFont="1" applyFill="1"/>
    <xf numFmtId="165" fontId="70" fillId="25" borderId="0" xfId="1" applyFont="1" applyFill="1"/>
    <xf numFmtId="0" fontId="69" fillId="0" borderId="0" xfId="6" applyFont="1"/>
    <xf numFmtId="0" fontId="71" fillId="25" borderId="42" xfId="6" applyFont="1" applyFill="1" applyBorder="1" applyAlignment="1">
      <alignment vertical="center" wrapText="1"/>
    </xf>
    <xf numFmtId="0" fontId="71" fillId="25" borderId="64" xfId="6" applyFont="1" applyFill="1" applyBorder="1" applyAlignment="1">
      <alignment horizontal="center" vertical="center" wrapText="1"/>
    </xf>
    <xf numFmtId="0" fontId="71" fillId="25" borderId="3" xfId="6" applyFont="1" applyFill="1" applyBorder="1" applyAlignment="1">
      <alignment vertical="center" wrapText="1"/>
    </xf>
    <xf numFmtId="0" fontId="71" fillId="25" borderId="30" xfId="6" applyFont="1" applyFill="1" applyBorder="1" applyAlignment="1">
      <alignment horizontal="center" vertical="center" wrapText="1"/>
    </xf>
    <xf numFmtId="0" fontId="71" fillId="25" borderId="0" xfId="6" applyFont="1" applyFill="1" applyAlignment="1">
      <alignment vertical="center" wrapText="1"/>
    </xf>
    <xf numFmtId="0" fontId="73" fillId="25" borderId="0" xfId="0" applyFont="1" applyFill="1"/>
    <xf numFmtId="2" fontId="71" fillId="25" borderId="1" xfId="6" applyNumberFormat="1" applyFont="1" applyFill="1" applyBorder="1" applyAlignment="1">
      <alignment horizontal="center" vertical="center"/>
    </xf>
    <xf numFmtId="0" fontId="71" fillId="25" borderId="1" xfId="6" applyFont="1" applyFill="1" applyBorder="1" applyAlignment="1">
      <alignment vertical="center"/>
    </xf>
    <xf numFmtId="165" fontId="71" fillId="25" borderId="1" xfId="1" applyFont="1" applyFill="1" applyBorder="1" applyAlignment="1">
      <alignment vertical="center"/>
    </xf>
    <xf numFmtId="2" fontId="73" fillId="25" borderId="1" xfId="0" applyNumberFormat="1" applyFont="1" applyFill="1" applyBorder="1"/>
    <xf numFmtId="165" fontId="73" fillId="25" borderId="1" xfId="1" applyFont="1" applyFill="1" applyBorder="1"/>
    <xf numFmtId="165" fontId="71" fillId="25" borderId="1" xfId="1" applyFont="1" applyFill="1" applyBorder="1"/>
    <xf numFmtId="0" fontId="71" fillId="0" borderId="1" xfId="6" applyFont="1" applyBorder="1"/>
    <xf numFmtId="0" fontId="71" fillId="25" borderId="1" xfId="6" applyFont="1" applyFill="1" applyBorder="1"/>
    <xf numFmtId="0" fontId="71" fillId="25" borderId="0" xfId="6" applyFont="1" applyFill="1"/>
    <xf numFmtId="2" fontId="69" fillId="25" borderId="0" xfId="6" applyNumberFormat="1" applyFont="1" applyFill="1" applyAlignment="1">
      <alignment horizontal="center"/>
    </xf>
    <xf numFmtId="2" fontId="69" fillId="25" borderId="1" xfId="6" applyNumberFormat="1" applyFont="1" applyFill="1" applyBorder="1" applyAlignment="1">
      <alignment horizontal="center" vertical="center"/>
    </xf>
    <xf numFmtId="0" fontId="69" fillId="25" borderId="1" xfId="6" applyFont="1" applyFill="1" applyBorder="1" applyAlignment="1">
      <alignment horizontal="left" vertical="center"/>
    </xf>
    <xf numFmtId="4" fontId="69" fillId="25" borderId="1" xfId="6" applyNumberFormat="1" applyFont="1" applyFill="1" applyBorder="1" applyAlignment="1">
      <alignment horizontal="center" vertical="center"/>
    </xf>
    <xf numFmtId="165" fontId="69" fillId="25" borderId="1" xfId="1" applyFont="1" applyFill="1" applyBorder="1" applyAlignment="1" applyProtection="1">
      <alignment vertical="center"/>
      <protection locked="0"/>
    </xf>
    <xf numFmtId="172" fontId="69" fillId="25" borderId="1" xfId="6" applyNumberFormat="1" applyFont="1" applyFill="1" applyBorder="1" applyAlignment="1">
      <alignment horizontal="right" vertical="center"/>
    </xf>
    <xf numFmtId="2" fontId="70" fillId="25" borderId="1" xfId="0" applyNumberFormat="1" applyFont="1" applyFill="1" applyBorder="1"/>
    <xf numFmtId="165" fontId="70" fillId="25" borderId="1" xfId="1" applyFont="1" applyFill="1" applyBorder="1"/>
    <xf numFmtId="165" fontId="69" fillId="25" borderId="1" xfId="1" applyFont="1" applyFill="1" applyBorder="1"/>
    <xf numFmtId="4" fontId="69" fillId="0" borderId="1" xfId="6" applyNumberFormat="1" applyFont="1" applyBorder="1"/>
    <xf numFmtId="169" fontId="69" fillId="25" borderId="1" xfId="6" applyNumberFormat="1" applyFont="1" applyFill="1" applyBorder="1"/>
    <xf numFmtId="0" fontId="69" fillId="25" borderId="1" xfId="6" applyFont="1" applyFill="1" applyBorder="1" applyAlignment="1">
      <alignment horizontal="left" vertical="center" wrapText="1"/>
    </xf>
    <xf numFmtId="4" fontId="71" fillId="25" borderId="1" xfId="6" applyNumberFormat="1" applyFont="1" applyFill="1" applyBorder="1" applyAlignment="1" applyProtection="1">
      <alignment horizontal="right" vertical="center"/>
      <protection locked="0"/>
    </xf>
    <xf numFmtId="172" fontId="73" fillId="25" borderId="1" xfId="0" applyNumberFormat="1" applyFont="1" applyFill="1" applyBorder="1"/>
    <xf numFmtId="2" fontId="71" fillId="0" borderId="0" xfId="6" applyNumberFormat="1" applyFont="1" applyAlignment="1">
      <alignment horizontal="center"/>
    </xf>
    <xf numFmtId="2" fontId="71" fillId="0" borderId="1" xfId="6" applyNumberFormat="1" applyFont="1" applyBorder="1" applyAlignment="1">
      <alignment horizontal="center" vertical="center"/>
    </xf>
    <xf numFmtId="0" fontId="71" fillId="0" borderId="1" xfId="6" applyFont="1" applyBorder="1" applyAlignment="1">
      <alignment vertical="center"/>
    </xf>
    <xf numFmtId="0" fontId="71" fillId="0" borderId="1" xfId="6" applyFont="1" applyBorder="1" applyAlignment="1">
      <alignment horizontal="center" vertical="center"/>
    </xf>
    <xf numFmtId="165" fontId="71" fillId="0" borderId="1" xfId="1" applyFont="1" applyFill="1" applyBorder="1" applyAlignment="1">
      <alignment vertical="center"/>
    </xf>
    <xf numFmtId="169" fontId="71" fillId="0" borderId="1" xfId="6" applyNumberFormat="1" applyFont="1" applyBorder="1" applyAlignment="1">
      <alignment horizontal="right" vertical="center"/>
    </xf>
    <xf numFmtId="2" fontId="73" fillId="0" borderId="1" xfId="0" applyNumberFormat="1" applyFont="1" applyBorder="1"/>
    <xf numFmtId="165" fontId="73" fillId="0" borderId="1" xfId="1" applyFont="1" applyFill="1" applyBorder="1"/>
    <xf numFmtId="165" fontId="71" fillId="0" borderId="1" xfId="1" applyFont="1" applyFill="1" applyBorder="1"/>
    <xf numFmtId="169" fontId="71" fillId="0" borderId="1" xfId="6" applyNumberFormat="1" applyFont="1" applyBorder="1"/>
    <xf numFmtId="0" fontId="71" fillId="0" borderId="0" xfId="6" applyFont="1"/>
    <xf numFmtId="2" fontId="69" fillId="0" borderId="0" xfId="6" applyNumberFormat="1" applyFont="1" applyAlignment="1">
      <alignment horizontal="center"/>
    </xf>
    <xf numFmtId="2" fontId="69" fillId="0" borderId="1" xfId="97" applyNumberFormat="1" applyFont="1" applyFill="1" applyBorder="1" applyAlignment="1" applyProtection="1">
      <alignment horizontal="center" vertical="center"/>
    </xf>
    <xf numFmtId="0" fontId="69" fillId="0" borderId="1" xfId="6" applyFont="1" applyBorder="1" applyAlignment="1">
      <alignment horizontal="left" vertical="center" wrapText="1"/>
    </xf>
    <xf numFmtId="2" fontId="69" fillId="0" borderId="1" xfId="6" applyNumberFormat="1" applyFont="1" applyBorder="1" applyAlignment="1">
      <alignment horizontal="center" vertical="center"/>
    </xf>
    <xf numFmtId="4" fontId="69" fillId="0" borderId="1" xfId="6" applyNumberFormat="1" applyFont="1" applyBorder="1" applyAlignment="1">
      <alignment horizontal="center" vertical="center"/>
    </xf>
    <xf numFmtId="165" fontId="69" fillId="0" borderId="1" xfId="1" applyFont="1" applyFill="1" applyBorder="1" applyAlignment="1" applyProtection="1">
      <alignment vertical="center"/>
      <protection locked="0"/>
    </xf>
    <xf numFmtId="172" fontId="69" fillId="0" borderId="1" xfId="6" applyNumberFormat="1" applyFont="1" applyBorder="1" applyAlignment="1">
      <alignment horizontal="right" vertical="center"/>
    </xf>
    <xf numFmtId="2" fontId="70" fillId="0" borderId="1" xfId="0" applyNumberFormat="1" applyFont="1" applyBorder="1"/>
    <xf numFmtId="165" fontId="70" fillId="0" borderId="1" xfId="1" applyFont="1" applyFill="1" applyBorder="1"/>
    <xf numFmtId="165" fontId="69" fillId="0" borderId="1" xfId="1" applyFont="1" applyFill="1" applyBorder="1"/>
    <xf numFmtId="169" fontId="69" fillId="0" borderId="1" xfId="6" applyNumberFormat="1" applyFont="1" applyBorder="1"/>
    <xf numFmtId="0" fontId="69" fillId="0" borderId="1" xfId="6" applyFont="1" applyBorder="1" applyAlignment="1">
      <alignment horizontal="left" vertical="center"/>
    </xf>
    <xf numFmtId="4" fontId="71" fillId="0" borderId="1" xfId="6" applyNumberFormat="1" applyFont="1" applyBorder="1" applyAlignment="1" applyProtection="1">
      <alignment horizontal="right" vertical="center"/>
      <protection locked="0"/>
    </xf>
    <xf numFmtId="172" fontId="71" fillId="0" borderId="1" xfId="6" applyNumberFormat="1" applyFont="1" applyBorder="1" applyAlignment="1">
      <alignment horizontal="right" vertical="center"/>
    </xf>
    <xf numFmtId="172" fontId="73" fillId="0" borderId="1" xfId="0" applyNumberFormat="1" applyFont="1" applyBorder="1"/>
    <xf numFmtId="0" fontId="69" fillId="0" borderId="1" xfId="6" applyFont="1" applyBorder="1"/>
    <xf numFmtId="2" fontId="69" fillId="0" borderId="0" xfId="98" applyNumberFormat="1" applyFont="1" applyFill="1" applyBorder="1" applyAlignment="1">
      <alignment horizontal="center"/>
    </xf>
    <xf numFmtId="39" fontId="71" fillId="0" borderId="1" xfId="6" applyNumberFormat="1" applyFont="1" applyBorder="1"/>
    <xf numFmtId="39" fontId="71" fillId="0" borderId="0" xfId="6" applyNumberFormat="1" applyFont="1"/>
    <xf numFmtId="39" fontId="69" fillId="0" borderId="0" xfId="6" applyNumberFormat="1" applyFont="1"/>
    <xf numFmtId="165" fontId="71" fillId="0" borderId="1" xfId="1" applyFont="1" applyFill="1" applyBorder="1" applyAlignment="1">
      <alignment horizontal="right" vertical="center"/>
    </xf>
    <xf numFmtId="0" fontId="73" fillId="25" borderId="7" xfId="0" applyFont="1" applyFill="1" applyBorder="1" applyAlignment="1">
      <alignment horizontal="center" vertical="center"/>
    </xf>
    <xf numFmtId="0" fontId="70" fillId="25" borderId="0" xfId="0" applyFont="1" applyFill="1" applyAlignment="1">
      <alignment vertical="center"/>
    </xf>
    <xf numFmtId="172" fontId="70" fillId="0" borderId="1" xfId="0" applyNumberFormat="1" applyFont="1" applyBorder="1"/>
    <xf numFmtId="172" fontId="70" fillId="25" borderId="0" xfId="0" applyNumberFormat="1" applyFont="1" applyFill="1"/>
    <xf numFmtId="4" fontId="71" fillId="25" borderId="1" xfId="6" applyNumberFormat="1" applyFont="1" applyFill="1" applyBorder="1" applyAlignment="1" applyProtection="1">
      <alignment horizontal="right" vertical="center"/>
      <protection locked="0"/>
    </xf>
    <xf numFmtId="4" fontId="71" fillId="25" borderId="1" xfId="6" applyNumberFormat="1" applyFont="1" applyFill="1" applyBorder="1" applyAlignment="1" applyProtection="1">
      <alignment horizontal="left" vertical="center"/>
      <protection locked="0"/>
    </xf>
    <xf numFmtId="4" fontId="69" fillId="25" borderId="1" xfId="6" applyNumberFormat="1" applyFont="1" applyFill="1" applyBorder="1" applyAlignment="1" applyProtection="1">
      <alignment horizontal="right" vertical="center"/>
      <protection locked="0"/>
    </xf>
    <xf numFmtId="4" fontId="69" fillId="25" borderId="1" xfId="6" applyNumberFormat="1" applyFont="1" applyFill="1" applyBorder="1" applyAlignment="1" applyProtection="1">
      <alignment horizontal="left" vertical="center"/>
      <protection locked="0"/>
    </xf>
    <xf numFmtId="4" fontId="69" fillId="25" borderId="1" xfId="6" applyNumberFormat="1" applyFont="1" applyFill="1" applyBorder="1" applyAlignment="1" applyProtection="1">
      <alignment horizontal="center" vertical="center"/>
      <protection locked="0"/>
    </xf>
    <xf numFmtId="172" fontId="70" fillId="25" borderId="1" xfId="0" applyNumberFormat="1" applyFont="1" applyFill="1" applyBorder="1"/>
    <xf numFmtId="2" fontId="70" fillId="0" borderId="1" xfId="0" applyNumberFormat="1" applyFont="1" applyBorder="1" applyAlignment="1">
      <alignment vertical="center"/>
    </xf>
    <xf numFmtId="4" fontId="71" fillId="25" borderId="1" xfId="6" applyNumberFormat="1" applyFont="1" applyFill="1" applyBorder="1" applyAlignment="1">
      <alignment horizontal="right" vertical="center"/>
    </xf>
    <xf numFmtId="0" fontId="69" fillId="25" borderId="1" xfId="6" applyFont="1" applyFill="1" applyBorder="1" applyAlignment="1">
      <alignment horizontal="right" vertical="center"/>
    </xf>
    <xf numFmtId="9" fontId="69" fillId="25" borderId="1" xfId="90" applyFont="1" applyFill="1" applyBorder="1" applyAlignment="1">
      <alignment horizontal="right" vertical="center"/>
    </xf>
    <xf numFmtId="165" fontId="70" fillId="25" borderId="0" xfId="1" applyFont="1" applyFill="1" applyBorder="1"/>
    <xf numFmtId="165" fontId="69" fillId="25" borderId="0" xfId="1" applyFont="1" applyFill="1" applyBorder="1"/>
    <xf numFmtId="9" fontId="71" fillId="25" borderId="64" xfId="6" applyNumberFormat="1" applyFont="1" applyFill="1" applyBorder="1" applyAlignment="1">
      <alignment horizontal="left" vertical="center"/>
    </xf>
    <xf numFmtId="0" fontId="70" fillId="25" borderId="64" xfId="0" applyFont="1" applyFill="1" applyBorder="1"/>
    <xf numFmtId="165" fontId="71" fillId="25" borderId="64" xfId="1" applyFont="1" applyFill="1" applyBorder="1" applyAlignment="1">
      <alignment horizontal="right" vertical="center"/>
    </xf>
    <xf numFmtId="169" fontId="73" fillId="25" borderId="0" xfId="99" applyNumberFormat="1" applyFont="1" applyFill="1" applyBorder="1" applyAlignment="1">
      <alignment horizontal="right"/>
    </xf>
    <xf numFmtId="2" fontId="70" fillId="25" borderId="64" xfId="0" applyNumberFormat="1" applyFont="1" applyFill="1" applyBorder="1"/>
    <xf numFmtId="165" fontId="70" fillId="25" borderId="64" xfId="1" applyFont="1" applyFill="1" applyBorder="1"/>
    <xf numFmtId="165" fontId="71" fillId="25" borderId="64" xfId="6" applyNumberFormat="1" applyFont="1" applyFill="1" applyBorder="1" applyAlignment="1">
      <alignment vertical="center"/>
    </xf>
    <xf numFmtId="0" fontId="70" fillId="0" borderId="64" xfId="0" applyFont="1" applyBorder="1"/>
    <xf numFmtId="9" fontId="71" fillId="25" borderId="0" xfId="6" applyNumberFormat="1" applyFont="1" applyFill="1" applyAlignment="1">
      <alignment horizontal="left" vertical="center"/>
    </xf>
    <xf numFmtId="165" fontId="71" fillId="25" borderId="0" xfId="6" applyNumberFormat="1" applyFont="1" applyFill="1" applyAlignment="1">
      <alignment vertical="center"/>
    </xf>
    <xf numFmtId="9" fontId="71" fillId="25" borderId="0" xfId="6" applyNumberFormat="1" applyFont="1" applyFill="1" applyAlignment="1">
      <alignment horizontal="left" vertical="center" wrapText="1"/>
    </xf>
    <xf numFmtId="165" fontId="71" fillId="25" borderId="0" xfId="6" applyNumberFormat="1" applyFont="1" applyFill="1" applyAlignment="1">
      <alignment vertical="center" wrapText="1"/>
    </xf>
    <xf numFmtId="169" fontId="73" fillId="25" borderId="0" xfId="99" applyNumberFormat="1" applyFont="1" applyFill="1" applyBorder="1" applyAlignment="1">
      <alignment horizontal="left"/>
    </xf>
    <xf numFmtId="165" fontId="69" fillId="25" borderId="0" xfId="6" applyNumberFormat="1" applyFont="1" applyFill="1" applyAlignment="1">
      <alignment wrapText="1"/>
    </xf>
    <xf numFmtId="0" fontId="70" fillId="0" borderId="0" xfId="0" applyFont="1" applyAlignment="1">
      <alignment horizontal="left"/>
    </xf>
    <xf numFmtId="0" fontId="70" fillId="0" borderId="0" xfId="0" applyFont="1" applyAlignment="1">
      <alignment horizontal="center"/>
    </xf>
    <xf numFmtId="169" fontId="70" fillId="0" borderId="0" xfId="0" applyNumberFormat="1" applyFont="1"/>
    <xf numFmtId="0" fontId="73" fillId="0" borderId="43" xfId="0" applyFont="1" applyBorder="1" applyAlignment="1">
      <alignment horizontal="center" vertical="center"/>
    </xf>
    <xf numFmtId="0" fontId="73" fillId="0" borderId="46" xfId="0" applyFont="1" applyBorder="1" applyAlignment="1">
      <alignment horizontal="center" vertical="center"/>
    </xf>
    <xf numFmtId="0" fontId="73" fillId="0" borderId="21" xfId="0" applyFont="1" applyBorder="1" applyAlignment="1">
      <alignment horizontal="right" vertical="center"/>
    </xf>
    <xf numFmtId="0" fontId="73" fillId="0" borderId="22" xfId="0" applyFont="1" applyBorder="1" applyAlignment="1">
      <alignment horizontal="left" vertical="center"/>
    </xf>
    <xf numFmtId="0" fontId="73" fillId="0" borderId="22" xfId="0" applyFont="1" applyBorder="1" applyAlignment="1">
      <alignment horizontal="center" vertical="center"/>
    </xf>
    <xf numFmtId="0" fontId="73" fillId="0" borderId="22" xfId="0" applyFont="1" applyBorder="1" applyAlignment="1">
      <alignment horizontal="right" vertical="center"/>
    </xf>
    <xf numFmtId="0" fontId="73" fillId="0" borderId="66" xfId="0" applyFont="1" applyBorder="1" applyAlignment="1">
      <alignment horizontal="right" vertical="center"/>
    </xf>
    <xf numFmtId="0" fontId="73" fillId="32" borderId="21" xfId="0" applyFont="1" applyFill="1" applyBorder="1" applyAlignment="1">
      <alignment horizontal="center" vertical="center"/>
    </xf>
    <xf numFmtId="169" fontId="73" fillId="32" borderId="23" xfId="0" applyNumberFormat="1" applyFont="1" applyFill="1" applyBorder="1" applyAlignment="1">
      <alignment horizontal="right" vertical="center"/>
    </xf>
    <xf numFmtId="0" fontId="73" fillId="0" borderId="21" xfId="0" applyFont="1" applyBorder="1" applyAlignment="1">
      <alignment horizontal="center" vertical="center"/>
    </xf>
    <xf numFmtId="169" fontId="73" fillId="0" borderId="23" xfId="0" applyNumberFormat="1" applyFont="1" applyBorder="1" applyAlignment="1">
      <alignment horizontal="right" vertical="center"/>
    </xf>
    <xf numFmtId="0" fontId="73" fillId="0" borderId="5" xfId="0" applyFont="1" applyBorder="1" applyAlignment="1">
      <alignment horizontal="right" vertical="center"/>
    </xf>
    <xf numFmtId="0" fontId="73" fillId="0" borderId="1" xfId="0" applyFont="1" applyBorder="1" applyAlignment="1">
      <alignment horizontal="left" vertical="center"/>
    </xf>
    <xf numFmtId="0" fontId="73" fillId="0" borderId="1" xfId="0" applyFont="1" applyBorder="1" applyAlignment="1">
      <alignment horizontal="center" vertical="center"/>
    </xf>
    <xf numFmtId="0" fontId="73" fillId="0" borderId="1" xfId="0" applyFont="1" applyBorder="1" applyAlignment="1">
      <alignment horizontal="right" vertical="center"/>
    </xf>
    <xf numFmtId="0" fontId="73" fillId="0" borderId="7" xfId="0" applyFont="1" applyBorder="1" applyAlignment="1">
      <alignment horizontal="right" vertical="center"/>
    </xf>
    <xf numFmtId="0" fontId="70" fillId="32" borderId="5" xfId="0" applyFont="1" applyFill="1" applyBorder="1" applyAlignment="1">
      <alignment horizontal="center" vertical="center"/>
    </xf>
    <xf numFmtId="169" fontId="70" fillId="32" borderId="2" xfId="0" applyNumberFormat="1" applyFont="1" applyFill="1" applyBorder="1"/>
    <xf numFmtId="0" fontId="70" fillId="0" borderId="5" xfId="0" applyFont="1" applyBorder="1" applyAlignment="1">
      <alignment horizontal="center" vertical="center"/>
    </xf>
    <xf numFmtId="169" fontId="70" fillId="0" borderId="2" xfId="0" applyNumberFormat="1" applyFont="1" applyBorder="1"/>
    <xf numFmtId="192" fontId="70" fillId="0" borderId="5" xfId="96" applyNumberFormat="1" applyFont="1" applyFill="1" applyBorder="1" applyAlignment="1">
      <alignment horizontal="right" vertical="center"/>
    </xf>
    <xf numFmtId="0" fontId="70" fillId="0" borderId="1" xfId="0" applyFont="1" applyBorder="1" applyAlignment="1">
      <alignment horizontal="left" vertical="center"/>
    </xf>
    <xf numFmtId="4" fontId="70" fillId="0" borderId="1" xfId="0" applyNumberFormat="1" applyFont="1" applyBorder="1" applyAlignment="1">
      <alignment horizontal="center" vertical="center"/>
    </xf>
    <xf numFmtId="187" fontId="70" fillId="0" borderId="1" xfId="0" applyNumberFormat="1" applyFont="1" applyBorder="1" applyAlignment="1">
      <alignment horizontal="right" vertical="center"/>
    </xf>
    <xf numFmtId="187" fontId="70" fillId="0" borderId="7" xfId="0" applyNumberFormat="1" applyFont="1" applyBorder="1" applyAlignment="1">
      <alignment horizontal="right" vertical="center"/>
    </xf>
    <xf numFmtId="2" fontId="70" fillId="32" borderId="5" xfId="0" applyNumberFormat="1" applyFont="1" applyFill="1" applyBorder="1" applyAlignment="1">
      <alignment horizontal="center" vertical="center"/>
    </xf>
    <xf numFmtId="169" fontId="70" fillId="32" borderId="2" xfId="0" applyNumberFormat="1" applyFont="1" applyFill="1" applyBorder="1" applyAlignment="1">
      <alignment vertical="center"/>
    </xf>
    <xf numFmtId="2" fontId="70" fillId="0" borderId="5" xfId="0" applyNumberFormat="1" applyFont="1" applyBorder="1" applyAlignment="1">
      <alignment horizontal="center" vertical="center"/>
    </xf>
    <xf numFmtId="169" fontId="70" fillId="0" borderId="2" xfId="0" applyNumberFormat="1" applyFont="1" applyBorder="1" applyAlignment="1">
      <alignment vertical="center"/>
    </xf>
    <xf numFmtId="2" fontId="70" fillId="0" borderId="0" xfId="0" applyNumberFormat="1" applyFont="1"/>
    <xf numFmtId="165" fontId="70" fillId="0" borderId="1" xfId="1" applyFont="1" applyFill="1" applyBorder="1" applyAlignment="1">
      <alignment horizontal="right" vertical="center"/>
    </xf>
    <xf numFmtId="188" fontId="70" fillId="0" borderId="7" xfId="0" applyNumberFormat="1" applyFont="1" applyBorder="1" applyAlignment="1">
      <alignment horizontal="right" vertical="center"/>
    </xf>
    <xf numFmtId="0" fontId="70" fillId="0" borderId="1" xfId="0" applyFont="1" applyBorder="1" applyAlignment="1">
      <alignment horizontal="left" vertical="center" wrapText="1"/>
    </xf>
    <xf numFmtId="193" fontId="70" fillId="0" borderId="1" xfId="0" applyNumberFormat="1" applyFont="1" applyBorder="1" applyAlignment="1">
      <alignment horizontal="center" vertical="center"/>
    </xf>
    <xf numFmtId="187" fontId="73" fillId="0" borderId="1" xfId="0" applyNumberFormat="1" applyFont="1" applyBorder="1" applyAlignment="1">
      <alignment horizontal="right" vertical="center"/>
    </xf>
    <xf numFmtId="187" fontId="73" fillId="0" borderId="7" xfId="0" applyNumberFormat="1" applyFont="1" applyBorder="1" applyAlignment="1">
      <alignment horizontal="right" vertical="center"/>
    </xf>
    <xf numFmtId="169" fontId="73" fillId="32" borderId="2" xfId="0" applyNumberFormat="1" applyFont="1" applyFill="1" applyBorder="1" applyAlignment="1">
      <alignment horizontal="right" vertical="center"/>
    </xf>
    <xf numFmtId="169" fontId="73" fillId="0" borderId="2" xfId="0" applyNumberFormat="1" applyFont="1" applyBorder="1" applyAlignment="1">
      <alignment horizontal="right" vertical="center"/>
    </xf>
    <xf numFmtId="1" fontId="73" fillId="0" borderId="5" xfId="0" applyNumberFormat="1" applyFont="1" applyBorder="1" applyAlignment="1">
      <alignment horizontal="right" vertical="center"/>
    </xf>
    <xf numFmtId="0" fontId="73" fillId="0" borderId="1" xfId="0" applyFont="1" applyBorder="1" applyAlignment="1">
      <alignment horizontal="left" vertical="center" wrapText="1"/>
    </xf>
    <xf numFmtId="39" fontId="70" fillId="0" borderId="1" xfId="0" applyNumberFormat="1" applyFont="1" applyBorder="1" applyAlignment="1">
      <alignment horizontal="center" vertical="center"/>
    </xf>
    <xf numFmtId="168" fontId="69" fillId="0" borderId="1" xfId="0" applyNumberFormat="1" applyFont="1" applyBorder="1" applyAlignment="1">
      <alignment horizontal="left" vertical="center" wrapText="1"/>
    </xf>
    <xf numFmtId="168" fontId="71" fillId="0" borderId="1" xfId="0" applyNumberFormat="1" applyFont="1" applyBorder="1" applyAlignment="1">
      <alignment horizontal="left" vertical="center" wrapText="1"/>
    </xf>
    <xf numFmtId="169" fontId="73" fillId="32" borderId="2" xfId="0" applyNumberFormat="1" applyFont="1" applyFill="1" applyBorder="1" applyAlignment="1">
      <alignment vertical="center"/>
    </xf>
    <xf numFmtId="169" fontId="73" fillId="0" borderId="2" xfId="0" applyNumberFormat="1" applyFont="1" applyBorder="1" applyAlignment="1">
      <alignment vertical="center"/>
    </xf>
    <xf numFmtId="188" fontId="73" fillId="0" borderId="7" xfId="0" applyNumberFormat="1" applyFont="1" applyBorder="1" applyAlignment="1">
      <alignment horizontal="right" vertical="center"/>
    </xf>
    <xf numFmtId="175" fontId="69" fillId="0" borderId="5" xfId="0" applyNumberFormat="1" applyFont="1" applyBorder="1" applyAlignment="1">
      <alignment horizontal="right" vertical="center"/>
    </xf>
    <xf numFmtId="0" fontId="69" fillId="0" borderId="1" xfId="0" applyFont="1" applyBorder="1" applyAlignment="1">
      <alignment horizontal="left" vertical="center"/>
    </xf>
    <xf numFmtId="165" fontId="71" fillId="0" borderId="7" xfId="0" applyNumberFormat="1" applyFont="1" applyBorder="1" applyAlignment="1">
      <alignment horizontal="right" vertical="center" wrapText="1"/>
    </xf>
    <xf numFmtId="169" fontId="71" fillId="32" borderId="2" xfId="0" applyNumberFormat="1" applyFont="1" applyFill="1" applyBorder="1" applyAlignment="1">
      <alignment horizontal="right" vertical="center" wrapText="1"/>
    </xf>
    <xf numFmtId="169" fontId="71" fillId="0" borderId="2" xfId="0" applyNumberFormat="1" applyFont="1" applyBorder="1" applyAlignment="1">
      <alignment horizontal="right" vertical="center" wrapText="1"/>
    </xf>
    <xf numFmtId="0" fontId="69" fillId="0" borderId="1" xfId="0" applyFont="1" applyBorder="1" applyAlignment="1">
      <alignment horizontal="right" vertical="center"/>
    </xf>
    <xf numFmtId="9" fontId="69" fillId="0" borderId="1" xfId="0" applyNumberFormat="1" applyFont="1" applyBorder="1" applyAlignment="1">
      <alignment horizontal="right" vertical="center"/>
    </xf>
    <xf numFmtId="165" fontId="69" fillId="0" borderId="7" xfId="0" applyNumberFormat="1" applyFont="1" applyBorder="1" applyAlignment="1">
      <alignment horizontal="right" vertical="center" wrapText="1"/>
    </xf>
    <xf numFmtId="169" fontId="69" fillId="32" borderId="2" xfId="0" applyNumberFormat="1" applyFont="1" applyFill="1" applyBorder="1" applyAlignment="1">
      <alignment horizontal="right" vertical="center" wrapText="1"/>
    </xf>
    <xf numFmtId="169" fontId="69" fillId="0" borderId="2" xfId="0" applyNumberFormat="1" applyFont="1" applyBorder="1" applyAlignment="1">
      <alignment horizontal="right" vertical="center" wrapText="1"/>
    </xf>
    <xf numFmtId="175" fontId="69" fillId="0" borderId="24" xfId="0" applyNumberFormat="1" applyFont="1" applyBorder="1" applyAlignment="1">
      <alignment horizontal="right" vertical="center"/>
    </xf>
    <xf numFmtId="0" fontId="69" fillId="0" borderId="11" xfId="0" applyFont="1" applyBorder="1" applyAlignment="1">
      <alignment horizontal="left" vertical="center"/>
    </xf>
    <xf numFmtId="0" fontId="69" fillId="0" borderId="11" xfId="0" applyFont="1" applyBorder="1" applyAlignment="1">
      <alignment horizontal="right" vertical="center"/>
    </xf>
    <xf numFmtId="9" fontId="69" fillId="0" borderId="11" xfId="0" applyNumberFormat="1" applyFont="1" applyBorder="1" applyAlignment="1">
      <alignment horizontal="right" vertical="center"/>
    </xf>
    <xf numFmtId="165" fontId="69" fillId="0" borderId="53" xfId="0" applyNumberFormat="1" applyFont="1" applyBorder="1" applyAlignment="1">
      <alignment horizontal="right" vertical="center" wrapText="1"/>
    </xf>
    <xf numFmtId="2" fontId="70" fillId="32" borderId="24" xfId="0" applyNumberFormat="1" applyFont="1" applyFill="1" applyBorder="1" applyAlignment="1">
      <alignment horizontal="center" vertical="center"/>
    </xf>
    <xf numFmtId="169" fontId="69" fillId="32" borderId="6" xfId="0" applyNumberFormat="1" applyFont="1" applyFill="1" applyBorder="1" applyAlignment="1">
      <alignment horizontal="right" vertical="center" wrapText="1"/>
    </xf>
    <xf numFmtId="2" fontId="70" fillId="0" borderId="24" xfId="0" applyNumberFormat="1" applyFont="1" applyBorder="1" applyAlignment="1">
      <alignment horizontal="center" vertical="center"/>
    </xf>
    <xf numFmtId="169" fontId="69" fillId="0" borderId="6" xfId="0" applyNumberFormat="1" applyFont="1" applyBorder="1" applyAlignment="1">
      <alignment horizontal="right" vertical="center" wrapText="1"/>
    </xf>
    <xf numFmtId="175" fontId="69" fillId="0" borderId="52" xfId="0" applyNumberFormat="1" applyFont="1" applyBorder="1" applyAlignment="1">
      <alignment horizontal="right" vertical="center"/>
    </xf>
    <xf numFmtId="0" fontId="69" fillId="0" borderId="67" xfId="0" applyFont="1" applyBorder="1" applyAlignment="1">
      <alignment horizontal="left" vertical="center"/>
    </xf>
    <xf numFmtId="0" fontId="71" fillId="0" borderId="52" xfId="0" applyFont="1" applyBorder="1" applyAlignment="1">
      <alignment horizontal="center" vertical="center" wrapText="1"/>
    </xf>
    <xf numFmtId="0" fontId="71" fillId="0" borderId="68" xfId="0" applyFont="1" applyBorder="1" applyAlignment="1">
      <alignment horizontal="center" vertical="center"/>
    </xf>
    <xf numFmtId="165" fontId="71" fillId="0" borderId="67" xfId="0" applyNumberFormat="1" applyFont="1" applyBorder="1" applyAlignment="1">
      <alignment horizontal="right" vertical="center" wrapText="1"/>
    </xf>
    <xf numFmtId="2" fontId="70" fillId="32" borderId="52" xfId="0" applyNumberFormat="1" applyFont="1" applyFill="1" applyBorder="1" applyAlignment="1">
      <alignment horizontal="center" vertical="center"/>
    </xf>
    <xf numFmtId="169" fontId="71" fillId="32" borderId="69" xfId="0" applyNumberFormat="1" applyFont="1" applyFill="1" applyBorder="1" applyAlignment="1">
      <alignment horizontal="right" vertical="center" wrapText="1"/>
    </xf>
    <xf numFmtId="2" fontId="70" fillId="0" borderId="52" xfId="0" applyNumberFormat="1" applyFont="1" applyBorder="1" applyAlignment="1">
      <alignment horizontal="center" vertical="center"/>
    </xf>
    <xf numFmtId="169" fontId="71" fillId="0" borderId="69" xfId="0" applyNumberFormat="1" applyFont="1" applyBorder="1" applyAlignment="1">
      <alignment horizontal="right" vertical="center" wrapText="1"/>
    </xf>
    <xf numFmtId="0" fontId="73" fillId="0" borderId="21" xfId="0" applyFont="1" applyBorder="1" applyAlignment="1">
      <alignment horizontal="right" vertical="center" wrapText="1"/>
    </xf>
    <xf numFmtId="0" fontId="73" fillId="0" borderId="22" xfId="0" applyFont="1" applyBorder="1" applyAlignment="1">
      <alignment horizontal="right" vertical="center" wrapText="1"/>
    </xf>
    <xf numFmtId="0" fontId="73" fillId="0" borderId="66" xfId="0" applyFont="1" applyBorder="1" applyAlignment="1">
      <alignment horizontal="right" vertical="center" wrapText="1"/>
    </xf>
    <xf numFmtId="0" fontId="70" fillId="0" borderId="7" xfId="0" applyFont="1" applyBorder="1" applyAlignment="1">
      <alignment horizontal="right" vertical="center"/>
    </xf>
    <xf numFmtId="2" fontId="70" fillId="0" borderId="5" xfId="0" applyNumberFormat="1" applyFont="1" applyBorder="1" applyAlignment="1">
      <alignment horizontal="right" vertical="center"/>
    </xf>
    <xf numFmtId="165" fontId="73" fillId="0" borderId="1" xfId="1" applyFont="1" applyFill="1" applyBorder="1" applyAlignment="1">
      <alignment horizontal="right" vertical="center"/>
    </xf>
    <xf numFmtId="2" fontId="70" fillId="0" borderId="1" xfId="0" applyNumberFormat="1" applyFont="1" applyBorder="1" applyAlignment="1">
      <alignment horizontal="left" vertical="center" wrapText="1"/>
    </xf>
    <xf numFmtId="2" fontId="73" fillId="0" borderId="1" xfId="0" applyNumberFormat="1" applyFont="1" applyBorder="1" applyAlignment="1">
      <alignment horizontal="left" vertical="center" wrapText="1"/>
    </xf>
    <xf numFmtId="186" fontId="73" fillId="0" borderId="1" xfId="0" applyNumberFormat="1" applyFont="1" applyBorder="1" applyAlignment="1">
      <alignment horizontal="right" vertical="center"/>
    </xf>
    <xf numFmtId="0" fontId="70" fillId="0" borderId="5" xfId="0" applyFont="1" applyBorder="1" applyAlignment="1">
      <alignment horizontal="right" vertical="center"/>
    </xf>
    <xf numFmtId="0" fontId="73" fillId="0" borderId="1" xfId="0" applyFont="1" applyBorder="1" applyAlignment="1">
      <alignment horizontal="right" vertical="center" wrapText="1"/>
    </xf>
    <xf numFmtId="0" fontId="73" fillId="0" borderId="1" xfId="0" applyFont="1" applyBorder="1" applyAlignment="1">
      <alignment horizontal="center" vertical="center" wrapText="1"/>
    </xf>
    <xf numFmtId="188" fontId="73" fillId="32" borderId="2" xfId="0" applyNumberFormat="1" applyFont="1" applyFill="1" applyBorder="1" applyAlignment="1">
      <alignment horizontal="right" vertical="center"/>
    </xf>
    <xf numFmtId="188" fontId="73" fillId="0" borderId="2" xfId="0" applyNumberFormat="1" applyFont="1" applyBorder="1" applyAlignment="1">
      <alignment horizontal="right" vertical="center"/>
    </xf>
    <xf numFmtId="10" fontId="69" fillId="0" borderId="1" xfId="0" applyNumberFormat="1" applyFont="1" applyBorder="1" applyAlignment="1" applyProtection="1">
      <alignment horizontal="right" vertical="center"/>
      <protection hidden="1"/>
    </xf>
    <xf numFmtId="188" fontId="70" fillId="32" borderId="2" xfId="0" applyNumberFormat="1" applyFont="1" applyFill="1" applyBorder="1" applyAlignment="1">
      <alignment horizontal="right" vertical="center"/>
    </xf>
    <xf numFmtId="188" fontId="70" fillId="0" borderId="2" xfId="0" applyNumberFormat="1" applyFont="1" applyBorder="1" applyAlignment="1">
      <alignment horizontal="right" vertical="center"/>
    </xf>
    <xf numFmtId="0" fontId="70" fillId="0" borderId="31" xfId="0" applyFont="1" applyBorder="1" applyAlignment="1">
      <alignment horizontal="right" vertical="center"/>
    </xf>
    <xf numFmtId="0" fontId="70" fillId="0" borderId="34" xfId="0" applyFont="1" applyBorder="1" applyAlignment="1">
      <alignment horizontal="left" vertical="center"/>
    </xf>
    <xf numFmtId="0" fontId="70" fillId="0" borderId="11" xfId="0" applyFont="1" applyBorder="1" applyAlignment="1">
      <alignment horizontal="right" vertical="center"/>
    </xf>
    <xf numFmtId="10" fontId="69" fillId="0" borderId="11" xfId="0" applyNumberFormat="1" applyFont="1" applyBorder="1" applyAlignment="1" applyProtection="1">
      <alignment horizontal="right" vertical="center"/>
      <protection hidden="1"/>
    </xf>
    <xf numFmtId="188" fontId="70" fillId="0" borderId="53" xfId="0" applyNumberFormat="1" applyFont="1" applyBorder="1" applyAlignment="1">
      <alignment horizontal="right" vertical="center"/>
    </xf>
    <xf numFmtId="2" fontId="70" fillId="32" borderId="31" xfId="0" applyNumberFormat="1" applyFont="1" applyFill="1" applyBorder="1" applyAlignment="1">
      <alignment horizontal="center" vertical="center"/>
    </xf>
    <xf numFmtId="188" fontId="70" fillId="32" borderId="65" xfId="0" applyNumberFormat="1" applyFont="1" applyFill="1" applyBorder="1" applyAlignment="1">
      <alignment horizontal="right" vertical="center"/>
    </xf>
    <xf numFmtId="2" fontId="70" fillId="0" borderId="31" xfId="0" applyNumberFormat="1" applyFont="1" applyBorder="1" applyAlignment="1">
      <alignment horizontal="center" vertical="center"/>
    </xf>
    <xf numFmtId="0" fontId="73" fillId="0" borderId="70" xfId="0" applyFont="1" applyBorder="1" applyAlignment="1">
      <alignment horizontal="left" vertical="center" wrapText="1"/>
    </xf>
    <xf numFmtId="0" fontId="73" fillId="0" borderId="42" xfId="0" applyFont="1" applyBorder="1" applyAlignment="1">
      <alignment horizontal="center" vertical="center"/>
    </xf>
    <xf numFmtId="188" fontId="73" fillId="0" borderId="45" xfId="0" applyNumberFormat="1" applyFont="1" applyBorder="1" applyAlignment="1">
      <alignment horizontal="right" vertical="center"/>
    </xf>
    <xf numFmtId="2" fontId="70" fillId="32" borderId="71" xfId="0" applyNumberFormat="1" applyFont="1" applyFill="1" applyBorder="1" applyAlignment="1">
      <alignment horizontal="center" vertical="center"/>
    </xf>
    <xf numFmtId="188" fontId="73" fillId="32" borderId="26" xfId="0" applyNumberFormat="1" applyFont="1" applyFill="1" applyBorder="1" applyAlignment="1">
      <alignment horizontal="right" vertical="center"/>
    </xf>
    <xf numFmtId="2" fontId="70" fillId="0" borderId="71" xfId="0" applyNumberFormat="1" applyFont="1" applyBorder="1" applyAlignment="1">
      <alignment horizontal="center" vertical="center"/>
    </xf>
    <xf numFmtId="188" fontId="73" fillId="0" borderId="26" xfId="0" applyNumberFormat="1" applyFont="1" applyBorder="1" applyAlignment="1">
      <alignment horizontal="right" vertical="center"/>
    </xf>
    <xf numFmtId="0" fontId="73" fillId="0" borderId="39" xfId="0" applyFont="1" applyBorder="1" applyAlignment="1">
      <alignment horizontal="center" vertical="center"/>
    </xf>
    <xf numFmtId="2" fontId="70" fillId="32" borderId="44" xfId="0" applyNumberFormat="1" applyFont="1" applyFill="1" applyBorder="1" applyAlignment="1">
      <alignment horizontal="center" vertical="center"/>
    </xf>
    <xf numFmtId="169" fontId="73" fillId="32" borderId="33" xfId="0" applyNumberFormat="1" applyFont="1" applyFill="1" applyBorder="1"/>
    <xf numFmtId="2" fontId="70" fillId="0" borderId="44" xfId="0" applyNumberFormat="1" applyFont="1" applyBorder="1" applyAlignment="1">
      <alignment horizontal="center" vertical="center"/>
    </xf>
    <xf numFmtId="169" fontId="73" fillId="0" borderId="33" xfId="0" applyNumberFormat="1" applyFont="1" applyBorder="1"/>
    <xf numFmtId="0" fontId="70" fillId="25" borderId="8" xfId="0" applyFont="1" applyFill="1" applyBorder="1" applyAlignment="1">
      <alignment horizontal="left" vertical="center" wrapText="1"/>
    </xf>
    <xf numFmtId="0" fontId="69" fillId="25" borderId="7" xfId="6" applyFont="1" applyFill="1" applyBorder="1" applyAlignment="1">
      <alignment horizontal="left" vertical="center" wrapText="1"/>
    </xf>
    <xf numFmtId="0" fontId="69" fillId="25" borderId="8" xfId="6" applyFont="1" applyFill="1" applyBorder="1" applyAlignment="1">
      <alignment horizontal="left" vertical="center" wrapText="1"/>
    </xf>
    <xf numFmtId="0" fontId="69" fillId="25" borderId="9" xfId="6" applyFont="1" applyFill="1" applyBorder="1" applyAlignment="1">
      <alignment horizontal="left" vertical="center" wrapText="1"/>
    </xf>
    <xf numFmtId="0" fontId="69" fillId="25" borderId="10" xfId="6" applyFont="1" applyFill="1" applyBorder="1" applyAlignment="1">
      <alignment horizontal="left" vertical="center" wrapText="1"/>
    </xf>
    <xf numFmtId="0" fontId="69" fillId="25" borderId="29" xfId="6" applyFont="1" applyFill="1" applyBorder="1" applyAlignment="1">
      <alignment horizontal="left" vertical="center" wrapText="1"/>
    </xf>
    <xf numFmtId="0" fontId="73" fillId="0" borderId="44" xfId="0" applyFont="1" applyBorder="1" applyAlignment="1">
      <alignment horizontal="center" vertical="center"/>
    </xf>
    <xf numFmtId="0" fontId="73" fillId="0" borderId="33" xfId="0" applyFont="1" applyBorder="1" applyAlignment="1">
      <alignment horizontal="center" vertical="center"/>
    </xf>
    <xf numFmtId="0" fontId="71" fillId="0" borderId="42" xfId="0" applyFont="1" applyBorder="1" applyAlignment="1">
      <alignment horizontal="center"/>
    </xf>
    <xf numFmtId="0" fontId="71" fillId="0" borderId="3" xfId="0" applyFont="1" applyBorder="1" applyAlignment="1">
      <alignment horizontal="center"/>
    </xf>
    <xf numFmtId="0" fontId="71" fillId="0" borderId="44" xfId="0" applyFont="1" applyBorder="1" applyAlignment="1">
      <alignment horizontal="center"/>
    </xf>
    <xf numFmtId="0" fontId="71" fillId="0" borderId="46" xfId="0" applyFont="1" applyBorder="1" applyAlignment="1">
      <alignment horizontal="center"/>
    </xf>
    <xf numFmtId="0" fontId="71" fillId="0" borderId="4" xfId="0" applyFont="1" applyBorder="1" applyAlignment="1">
      <alignment horizontal="center"/>
    </xf>
    <xf numFmtId="0" fontId="71" fillId="0" borderId="33" xfId="0" applyFont="1" applyBorder="1" applyAlignment="1">
      <alignment horizontal="center"/>
    </xf>
    <xf numFmtId="0" fontId="71" fillId="0" borderId="43" xfId="0" applyFont="1" applyBorder="1" applyAlignment="1">
      <alignment horizontal="center" vertical="center" wrapText="1"/>
    </xf>
    <xf numFmtId="0" fontId="71" fillId="0" borderId="46" xfId="0" applyFont="1" applyBorder="1" applyAlignment="1">
      <alignment horizontal="center" vertical="center" wrapText="1"/>
    </xf>
    <xf numFmtId="0" fontId="71" fillId="0" borderId="0" xfId="0" applyFont="1" applyBorder="1" applyAlignment="1">
      <alignment horizontal="center" vertical="center" wrapText="1"/>
    </xf>
    <xf numFmtId="0" fontId="71" fillId="0" borderId="4" xfId="0" applyFont="1" applyBorder="1" applyAlignment="1">
      <alignment horizontal="center" vertical="center" wrapText="1"/>
    </xf>
    <xf numFmtId="0" fontId="71" fillId="0" borderId="45" xfId="0" applyFont="1" applyBorder="1" applyAlignment="1">
      <alignment horizontal="center" vertical="center" wrapText="1"/>
    </xf>
    <xf numFmtId="0" fontId="71" fillId="0" borderId="33" xfId="0" applyFont="1" applyBorder="1" applyAlignment="1">
      <alignment horizontal="center" vertical="center" wrapText="1"/>
    </xf>
    <xf numFmtId="188" fontId="73" fillId="32" borderId="9" xfId="0" applyNumberFormat="1" applyFont="1" applyFill="1" applyBorder="1" applyAlignment="1">
      <alignment horizontal="center" vertical="center"/>
    </xf>
    <xf numFmtId="188" fontId="73" fillId="32" borderId="10" xfId="0" applyNumberFormat="1" applyFont="1" applyFill="1" applyBorder="1" applyAlignment="1">
      <alignment horizontal="center" vertical="center"/>
    </xf>
    <xf numFmtId="188" fontId="73" fillId="32" borderId="29" xfId="0" applyNumberFormat="1" applyFont="1" applyFill="1" applyBorder="1" applyAlignment="1">
      <alignment horizontal="center" vertical="center"/>
    </xf>
    <xf numFmtId="188" fontId="70" fillId="32" borderId="10" xfId="0" applyNumberFormat="1" applyFont="1" applyFill="1" applyBorder="1" applyAlignment="1">
      <alignment horizontal="center" vertical="center"/>
    </xf>
    <xf numFmtId="188" fontId="70" fillId="32" borderId="44" xfId="0" applyNumberFormat="1" applyFont="1" applyFill="1" applyBorder="1" applyAlignment="1">
      <alignment horizontal="center"/>
    </xf>
    <xf numFmtId="188" fontId="70" fillId="32" borderId="45" xfId="0" applyNumberFormat="1" applyFont="1" applyFill="1" applyBorder="1" applyAlignment="1">
      <alignment horizontal="center"/>
    </xf>
    <xf numFmtId="188" fontId="70" fillId="32" borderId="33" xfId="0" applyNumberFormat="1" applyFont="1" applyFill="1" applyBorder="1" applyAlignment="1">
      <alignment horizontal="center"/>
    </xf>
    <xf numFmtId="0" fontId="73" fillId="0" borderId="45" xfId="0" applyFont="1" applyBorder="1" applyAlignment="1">
      <alignment horizontal="center" vertical="center"/>
    </xf>
    <xf numFmtId="10" fontId="71" fillId="0" borderId="42" xfId="66" applyNumberFormat="1" applyFont="1" applyFill="1" applyBorder="1" applyAlignment="1">
      <alignment horizontal="center" vertical="center"/>
    </xf>
    <xf numFmtId="10" fontId="71" fillId="0" borderId="43" xfId="66" applyNumberFormat="1" applyFont="1" applyFill="1" applyBorder="1" applyAlignment="1">
      <alignment horizontal="center" vertical="center"/>
    </xf>
    <xf numFmtId="10" fontId="71" fillId="0" borderId="3" xfId="66" applyNumberFormat="1" applyFont="1" applyFill="1" applyBorder="1" applyAlignment="1">
      <alignment horizontal="center" vertical="center"/>
    </xf>
    <xf numFmtId="10" fontId="71" fillId="0" borderId="0" xfId="66" applyNumberFormat="1" applyFont="1" applyFill="1" applyBorder="1" applyAlignment="1">
      <alignment horizontal="center" vertical="center"/>
    </xf>
    <xf numFmtId="10" fontId="71" fillId="0" borderId="44" xfId="66" applyNumberFormat="1" applyFont="1" applyFill="1" applyBorder="1" applyAlignment="1">
      <alignment horizontal="center" vertical="center"/>
    </xf>
    <xf numFmtId="10" fontId="71" fillId="0" borderId="45" xfId="66" applyNumberFormat="1" applyFont="1" applyFill="1" applyBorder="1" applyAlignment="1">
      <alignment horizontal="center" vertical="center"/>
    </xf>
    <xf numFmtId="0" fontId="70" fillId="0" borderId="42" xfId="0" applyFont="1" applyBorder="1" applyAlignment="1">
      <alignment horizontal="center"/>
    </xf>
    <xf numFmtId="0" fontId="70" fillId="0" borderId="46" xfId="0" applyFont="1" applyBorder="1" applyAlignment="1">
      <alignment horizontal="center"/>
    </xf>
    <xf numFmtId="0" fontId="70" fillId="0" borderId="3" xfId="0" applyFont="1" applyBorder="1" applyAlignment="1">
      <alignment horizontal="center"/>
    </xf>
    <xf numFmtId="0" fontId="70" fillId="0" borderId="4" xfId="0" applyFont="1" applyBorder="1" applyAlignment="1">
      <alignment horizontal="center"/>
    </xf>
    <xf numFmtId="0" fontId="70" fillId="0" borderId="44" xfId="0" applyFont="1" applyBorder="1" applyAlignment="1">
      <alignment horizontal="center"/>
    </xf>
    <xf numFmtId="0" fontId="70" fillId="0" borderId="33" xfId="0" applyFont="1" applyBorder="1" applyAlignment="1">
      <alignment horizontal="center"/>
    </xf>
  </cellXfs>
  <cellStyles count="100">
    <cellStyle name="20% - Énfasis1 2" xfId="15" xr:uid="{00000000-0005-0000-0000-000000000000}"/>
    <cellStyle name="20% - Énfasis2 2" xfId="16" xr:uid="{00000000-0005-0000-0000-000001000000}"/>
    <cellStyle name="20% - Énfasis3 2" xfId="17" xr:uid="{00000000-0005-0000-0000-000002000000}"/>
    <cellStyle name="20% - Énfasis4 2" xfId="18" xr:uid="{00000000-0005-0000-0000-000003000000}"/>
    <cellStyle name="20% - Énfasis5 2" xfId="19" xr:uid="{00000000-0005-0000-0000-000004000000}"/>
    <cellStyle name="20% - Énfasis6 2" xfId="20" xr:uid="{00000000-0005-0000-0000-000005000000}"/>
    <cellStyle name="40% - Énfasis1 2" xfId="21" xr:uid="{00000000-0005-0000-0000-000006000000}"/>
    <cellStyle name="40% - Énfasis2 2" xfId="22" xr:uid="{00000000-0005-0000-0000-000007000000}"/>
    <cellStyle name="40% - Énfasis3 2" xfId="23" xr:uid="{00000000-0005-0000-0000-000008000000}"/>
    <cellStyle name="40% - Énfasis4 2" xfId="24" xr:uid="{00000000-0005-0000-0000-000009000000}"/>
    <cellStyle name="40% - Énfasis5 2" xfId="25" xr:uid="{00000000-0005-0000-0000-00000A000000}"/>
    <cellStyle name="40% - Énfasis6 2" xfId="26" xr:uid="{00000000-0005-0000-0000-00000B000000}"/>
    <cellStyle name="60% - Énfasis1 2" xfId="27" xr:uid="{00000000-0005-0000-0000-00000C000000}"/>
    <cellStyle name="60% - Énfasis2 2" xfId="28" xr:uid="{00000000-0005-0000-0000-00000D000000}"/>
    <cellStyle name="60% - Énfasis3 2" xfId="29" xr:uid="{00000000-0005-0000-0000-00000E000000}"/>
    <cellStyle name="60% - Énfasis4 2" xfId="30" xr:uid="{00000000-0005-0000-0000-00000F000000}"/>
    <cellStyle name="60% - Énfasis5 2" xfId="31" xr:uid="{00000000-0005-0000-0000-000010000000}"/>
    <cellStyle name="60% - Énfasis6 2" xfId="32" xr:uid="{00000000-0005-0000-0000-000011000000}"/>
    <cellStyle name="Buena 2" xfId="33" xr:uid="{00000000-0005-0000-0000-000012000000}"/>
    <cellStyle name="Cálculo 2" xfId="34" xr:uid="{00000000-0005-0000-0000-000013000000}"/>
    <cellStyle name="Celda de comprobación 2" xfId="35" xr:uid="{00000000-0005-0000-0000-000014000000}"/>
    <cellStyle name="Celda vinculada 2" xfId="36" xr:uid="{00000000-0005-0000-0000-000015000000}"/>
    <cellStyle name="Comma" xfId="97" xr:uid="{6F53F53D-5A9B-4CE3-A5D1-906C05D84A3D}"/>
    <cellStyle name="CUADRO1" xfId="37" xr:uid="{00000000-0005-0000-0000-000016000000}"/>
    <cellStyle name="Encabezado 4 2" xfId="38" xr:uid="{00000000-0005-0000-0000-000017000000}"/>
    <cellStyle name="Énfasis1 2" xfId="39" xr:uid="{00000000-0005-0000-0000-000018000000}"/>
    <cellStyle name="Énfasis2 2" xfId="40" xr:uid="{00000000-0005-0000-0000-000019000000}"/>
    <cellStyle name="Énfasis3 2" xfId="41" xr:uid="{00000000-0005-0000-0000-00001A000000}"/>
    <cellStyle name="Énfasis4 2" xfId="42" xr:uid="{00000000-0005-0000-0000-00001B000000}"/>
    <cellStyle name="Énfasis5 2" xfId="43" xr:uid="{00000000-0005-0000-0000-00001C000000}"/>
    <cellStyle name="Énfasis6 2" xfId="44" xr:uid="{00000000-0005-0000-0000-00001D000000}"/>
    <cellStyle name="Entrada 2" xfId="45" xr:uid="{00000000-0005-0000-0000-00001E000000}"/>
    <cellStyle name="Euro" xfId="46" xr:uid="{00000000-0005-0000-0000-00001F000000}"/>
    <cellStyle name="Incorrecto 2" xfId="47" xr:uid="{00000000-0005-0000-0000-000020000000}"/>
    <cellStyle name="Millares" xfId="96" builtinId="3"/>
    <cellStyle name="Millares [0]" xfId="92" builtinId="6"/>
    <cellStyle name="Millares [0] 2" xfId="49" xr:uid="{00000000-0005-0000-0000-000022000000}"/>
    <cellStyle name="Millares [0] 3" xfId="91" xr:uid="{00000000-0005-0000-0000-000023000000}"/>
    <cellStyle name="Millares 10" xfId="84" xr:uid="{00000000-0005-0000-0000-000024000000}"/>
    <cellStyle name="Millares 11" xfId="83" xr:uid="{00000000-0005-0000-0000-000025000000}"/>
    <cellStyle name="Millares 12" xfId="85" xr:uid="{00000000-0005-0000-0000-000026000000}"/>
    <cellStyle name="Millares 13" xfId="81" xr:uid="{00000000-0005-0000-0000-000027000000}"/>
    <cellStyle name="Millares 14" xfId="89" xr:uid="{00000000-0005-0000-0000-000028000000}"/>
    <cellStyle name="Millares 15" xfId="80" xr:uid="{00000000-0005-0000-0000-000029000000}"/>
    <cellStyle name="Millares 2" xfId="50" xr:uid="{00000000-0005-0000-0000-00002A000000}"/>
    <cellStyle name="Millares 2 2" xfId="51" xr:uid="{00000000-0005-0000-0000-00002B000000}"/>
    <cellStyle name="Millares 2 4" xfId="2" xr:uid="{00000000-0005-0000-0000-00002C000000}"/>
    <cellStyle name="Millares 3" xfId="52" xr:uid="{00000000-0005-0000-0000-00002D000000}"/>
    <cellStyle name="Millares 3 2" xfId="3" xr:uid="{00000000-0005-0000-0000-00002E000000}"/>
    <cellStyle name="Millares 4" xfId="53" xr:uid="{00000000-0005-0000-0000-00002F000000}"/>
    <cellStyle name="Millares 5" xfId="48" xr:uid="{00000000-0005-0000-0000-000030000000}"/>
    <cellStyle name="Millares 5 2" xfId="93" xr:uid="{00000000-0005-0000-0000-000031000000}"/>
    <cellStyle name="Millares 6" xfId="87" xr:uid="{00000000-0005-0000-0000-000032000000}"/>
    <cellStyle name="Millares 7" xfId="86" xr:uid="{00000000-0005-0000-0000-000033000000}"/>
    <cellStyle name="Millares 8" xfId="88" xr:uid="{00000000-0005-0000-0000-000034000000}"/>
    <cellStyle name="Millares 9" xfId="82" xr:uid="{00000000-0005-0000-0000-000035000000}"/>
    <cellStyle name="Moneda" xfId="1" builtinId="4"/>
    <cellStyle name="Moneda [0] 2" xfId="99" xr:uid="{ABA91B0A-08FE-45FF-8CC6-460B776D9BCD}"/>
    <cellStyle name="Moneda 2" xfId="4" xr:uid="{00000000-0005-0000-0000-000037000000}"/>
    <cellStyle name="Moneda 2 2" xfId="54" xr:uid="{00000000-0005-0000-0000-000038000000}"/>
    <cellStyle name="Moneda 3" xfId="55" xr:uid="{00000000-0005-0000-0000-000039000000}"/>
    <cellStyle name="Moneda 4" xfId="56" xr:uid="{00000000-0005-0000-0000-00003A000000}"/>
    <cellStyle name="Moneda 4 2" xfId="94" xr:uid="{00000000-0005-0000-0000-00003B000000}"/>
    <cellStyle name="Moneda 5" xfId="57" xr:uid="{00000000-0005-0000-0000-00003C000000}"/>
    <cellStyle name="Moneda 6" xfId="58" xr:uid="{00000000-0005-0000-0000-00003D000000}"/>
    <cellStyle name="Moneda 9" xfId="98" xr:uid="{2AB42D23-AA4E-4C57-8E08-D7834F161685}"/>
    <cellStyle name="Neutral 2" xfId="59" xr:uid="{00000000-0005-0000-0000-00003E000000}"/>
    <cellStyle name="Normal" xfId="0" builtinId="0"/>
    <cellStyle name="Normal 2" xfId="5" xr:uid="{00000000-0005-0000-0000-000040000000}"/>
    <cellStyle name="Normal 2 2" xfId="6" xr:uid="{00000000-0005-0000-0000-000041000000}"/>
    <cellStyle name="Normal 2 2 2" xfId="7" xr:uid="{00000000-0005-0000-0000-000042000000}"/>
    <cellStyle name="Normal 2 3" xfId="8" xr:uid="{00000000-0005-0000-0000-000043000000}"/>
    <cellStyle name="Normal 2 3 2" xfId="60" xr:uid="{00000000-0005-0000-0000-000044000000}"/>
    <cellStyle name="Normal 2 4" xfId="9" xr:uid="{00000000-0005-0000-0000-000045000000}"/>
    <cellStyle name="Normal 3" xfId="10" xr:uid="{00000000-0005-0000-0000-000046000000}"/>
    <cellStyle name="Normal 3 2" xfId="61" xr:uid="{00000000-0005-0000-0000-000047000000}"/>
    <cellStyle name="Normal 4" xfId="62" xr:uid="{00000000-0005-0000-0000-000048000000}"/>
    <cellStyle name="Normal 4 2" xfId="63" xr:uid="{00000000-0005-0000-0000-000049000000}"/>
    <cellStyle name="Normal 5" xfId="64" xr:uid="{00000000-0005-0000-0000-00004A000000}"/>
    <cellStyle name="Normal 5 3" xfId="11" xr:uid="{00000000-0005-0000-0000-00004B000000}"/>
    <cellStyle name="Normal 6" xfId="14" xr:uid="{00000000-0005-0000-0000-00004C000000}"/>
    <cellStyle name="Normal 6 2" xfId="95" xr:uid="{00000000-0005-0000-0000-00004D000000}"/>
    <cellStyle name="Normal 7 2" xfId="12" xr:uid="{00000000-0005-0000-0000-00004E000000}"/>
    <cellStyle name="Normal_SUELDOS" xfId="13" xr:uid="{00000000-0005-0000-0000-00004F000000}"/>
    <cellStyle name="Notas 2" xfId="65" xr:uid="{00000000-0005-0000-0000-000050000000}"/>
    <cellStyle name="Porcentaje" xfId="90" builtinId="5"/>
    <cellStyle name="Porcentaje 2" xfId="66" xr:uid="{00000000-0005-0000-0000-000052000000}"/>
    <cellStyle name="Porcentual 2" xfId="67" xr:uid="{00000000-0005-0000-0000-000053000000}"/>
    <cellStyle name="Porcentual 2 2 2" xfId="68" xr:uid="{00000000-0005-0000-0000-000054000000}"/>
    <cellStyle name="Porcentual 3" xfId="69" xr:uid="{00000000-0005-0000-0000-000055000000}"/>
    <cellStyle name="Porcentual 4" xfId="70" xr:uid="{00000000-0005-0000-0000-000056000000}"/>
    <cellStyle name="Salida 2" xfId="71" xr:uid="{00000000-0005-0000-0000-000057000000}"/>
    <cellStyle name="Texto de advertencia 2" xfId="72" xr:uid="{00000000-0005-0000-0000-000058000000}"/>
    <cellStyle name="Texto explicativo 2" xfId="73" xr:uid="{00000000-0005-0000-0000-000059000000}"/>
    <cellStyle name="Título 1 2" xfId="75" xr:uid="{00000000-0005-0000-0000-00005A000000}"/>
    <cellStyle name="Título 2 2" xfId="76" xr:uid="{00000000-0005-0000-0000-00005B000000}"/>
    <cellStyle name="Título 3 2" xfId="77" xr:uid="{00000000-0005-0000-0000-00005C000000}"/>
    <cellStyle name="Título 4" xfId="74" xr:uid="{00000000-0005-0000-0000-00005D000000}"/>
    <cellStyle name="Total 2" xfId="78" xr:uid="{00000000-0005-0000-0000-00005E000000}"/>
    <cellStyle name="Währung" xfId="79" xr:uid="{00000000-0005-0000-0000-00005F000000}"/>
  </cellStyles>
  <dxfs count="51">
    <dxf>
      <font>
        <condense val="0"/>
        <extend val="0"/>
        <color indexed="42"/>
      </font>
    </dxf>
    <dxf>
      <font>
        <condense val="0"/>
        <extend val="0"/>
        <color indexed="42"/>
      </font>
    </dxf>
    <dxf>
      <font>
        <condense val="0"/>
        <extend val="0"/>
        <color indexed="42"/>
      </font>
    </dxf>
    <dxf>
      <font>
        <condense val="0"/>
        <extend val="0"/>
        <color indexed="42"/>
      </font>
    </dxf>
    <dxf>
      <font>
        <condense val="0"/>
        <extend val="0"/>
        <color indexed="42"/>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ndense val="0"/>
        <extend val="0"/>
        <color indexed="42"/>
      </font>
    </dxf>
    <dxf>
      <font>
        <condense val="0"/>
        <extend val="0"/>
        <color indexed="42"/>
      </font>
    </dxf>
    <dxf>
      <font>
        <condense val="0"/>
        <extend val="0"/>
        <color indexed="42"/>
      </font>
    </dxf>
    <dxf>
      <font>
        <condense val="0"/>
        <extend val="0"/>
        <color indexed="42"/>
      </font>
    </dxf>
    <dxf>
      <font>
        <condense val="0"/>
        <extend val="0"/>
        <color indexed="42"/>
      </font>
    </dxf>
    <dxf>
      <font>
        <condense val="0"/>
        <extend val="0"/>
        <color indexed="42"/>
      </font>
    </dxf>
    <dxf>
      <font>
        <condense val="0"/>
        <extend val="0"/>
        <color indexed="42"/>
      </font>
    </dxf>
    <dxf>
      <font>
        <condense val="0"/>
        <extend val="0"/>
        <color indexed="42"/>
      </font>
    </dxf>
    <dxf>
      <font>
        <condense val="0"/>
        <extend val="0"/>
        <color indexed="42"/>
      </font>
    </dxf>
    <dxf>
      <font>
        <condense val="0"/>
        <extend val="0"/>
        <color indexed="42"/>
      </font>
    </dxf>
    <dxf>
      <font>
        <condense val="0"/>
        <extend val="0"/>
        <color indexed="42"/>
      </font>
    </dxf>
    <dxf>
      <font>
        <condense val="0"/>
        <extend val="0"/>
        <color indexed="42"/>
      </font>
    </dxf>
    <dxf>
      <font>
        <condense val="0"/>
        <extend val="0"/>
        <color indexed="42"/>
      </font>
    </dxf>
    <dxf>
      <font>
        <condense val="0"/>
        <extend val="0"/>
        <color indexed="42"/>
      </font>
    </dxf>
    <dxf>
      <font>
        <condense val="0"/>
        <extend val="0"/>
        <color indexed="42"/>
      </font>
    </dxf>
    <dxf>
      <font>
        <condense val="0"/>
        <extend val="0"/>
        <color indexed="42"/>
      </font>
    </dxf>
    <dxf>
      <font>
        <condense val="0"/>
        <extend val="0"/>
        <color indexed="42"/>
      </font>
    </dxf>
    <dxf>
      <font>
        <condense val="0"/>
        <extend val="0"/>
        <color indexed="42"/>
      </font>
    </dxf>
    <dxf>
      <font>
        <condense val="0"/>
        <extend val="0"/>
        <color indexed="42"/>
      </font>
    </dxf>
    <dxf>
      <font>
        <condense val="0"/>
        <extend val="0"/>
        <color indexed="42"/>
      </font>
    </dxf>
    <dxf>
      <font>
        <condense val="0"/>
        <extend val="0"/>
        <color indexed="42"/>
      </font>
    </dxf>
    <dxf>
      <font>
        <condense val="0"/>
        <extend val="0"/>
        <color indexed="4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447675</xdr:colOff>
      <xdr:row>2</xdr:row>
      <xdr:rowOff>180975</xdr:rowOff>
    </xdr:from>
    <xdr:to>
      <xdr:col>1</xdr:col>
      <xdr:colOff>2924175</xdr:colOff>
      <xdr:row>5</xdr:row>
      <xdr:rowOff>333375</xdr:rowOff>
    </xdr:to>
    <xdr:pic>
      <xdr:nvPicPr>
        <xdr:cNvPr id="2" name="0 Imagen">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8874" t="15633" r="10985" b="23637"/>
        <a:stretch>
          <a:fillRect/>
        </a:stretch>
      </xdr:blipFill>
      <xdr:spPr bwMode="auto">
        <a:xfrm>
          <a:off x="419100" y="666750"/>
          <a:ext cx="2924175"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447675</xdr:colOff>
      <xdr:row>2</xdr:row>
      <xdr:rowOff>180975</xdr:rowOff>
    </xdr:from>
    <xdr:to>
      <xdr:col>1</xdr:col>
      <xdr:colOff>2924175</xdr:colOff>
      <xdr:row>5</xdr:row>
      <xdr:rowOff>333375</xdr:rowOff>
    </xdr:to>
    <xdr:pic>
      <xdr:nvPicPr>
        <xdr:cNvPr id="2" name="0 Imagen">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8874" t="15633" r="10985" b="23637"/>
        <a:stretch>
          <a:fillRect/>
        </a:stretch>
      </xdr:blipFill>
      <xdr:spPr bwMode="auto">
        <a:xfrm>
          <a:off x="419100" y="666750"/>
          <a:ext cx="2924175"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447675</xdr:colOff>
      <xdr:row>2</xdr:row>
      <xdr:rowOff>180975</xdr:rowOff>
    </xdr:from>
    <xdr:to>
      <xdr:col>1</xdr:col>
      <xdr:colOff>2924175</xdr:colOff>
      <xdr:row>5</xdr:row>
      <xdr:rowOff>333375</xdr:rowOff>
    </xdr:to>
    <xdr:pic>
      <xdr:nvPicPr>
        <xdr:cNvPr id="2" name="0 Imagen">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8874" t="15633" r="10985" b="23637"/>
        <a:stretch>
          <a:fillRect/>
        </a:stretch>
      </xdr:blipFill>
      <xdr:spPr bwMode="auto">
        <a:xfrm>
          <a:off x="419100" y="666750"/>
          <a:ext cx="2924175"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447675</xdr:colOff>
      <xdr:row>2</xdr:row>
      <xdr:rowOff>180975</xdr:rowOff>
    </xdr:from>
    <xdr:to>
      <xdr:col>1</xdr:col>
      <xdr:colOff>2924175</xdr:colOff>
      <xdr:row>5</xdr:row>
      <xdr:rowOff>333375</xdr:rowOff>
    </xdr:to>
    <xdr:pic>
      <xdr:nvPicPr>
        <xdr:cNvPr id="2" name="0 Imagen">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8874" t="15633" r="10985" b="23637"/>
        <a:stretch>
          <a:fillRect/>
        </a:stretch>
      </xdr:blipFill>
      <xdr:spPr bwMode="auto">
        <a:xfrm>
          <a:off x="419100" y="800100"/>
          <a:ext cx="2924175"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447675</xdr:colOff>
      <xdr:row>2</xdr:row>
      <xdr:rowOff>180975</xdr:rowOff>
    </xdr:from>
    <xdr:to>
      <xdr:col>1</xdr:col>
      <xdr:colOff>2924175</xdr:colOff>
      <xdr:row>5</xdr:row>
      <xdr:rowOff>333375</xdr:rowOff>
    </xdr:to>
    <xdr:pic>
      <xdr:nvPicPr>
        <xdr:cNvPr id="2" name="0 Imagen">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8874" t="15633" r="10985" b="23637"/>
        <a:stretch>
          <a:fillRect/>
        </a:stretch>
      </xdr:blipFill>
      <xdr:spPr bwMode="auto">
        <a:xfrm>
          <a:off x="419100" y="666750"/>
          <a:ext cx="2924175"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402167</xdr:colOff>
      <xdr:row>1</xdr:row>
      <xdr:rowOff>116417</xdr:rowOff>
    </xdr:from>
    <xdr:to>
      <xdr:col>2</xdr:col>
      <xdr:colOff>1948392</xdr:colOff>
      <xdr:row>4</xdr:row>
      <xdr:rowOff>33232</xdr:rowOff>
    </xdr:to>
    <xdr:pic>
      <xdr:nvPicPr>
        <xdr:cNvPr id="2" name="Imagen 1">
          <a:extLst>
            <a:ext uri="{FF2B5EF4-FFF2-40B4-BE49-F238E27FC236}">
              <a16:creationId xmlns:a16="http://schemas.microsoft.com/office/drawing/2014/main" id="{074CAB16-4AA1-0DC2-3856-DF3A24A064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4750" y="306917"/>
          <a:ext cx="1546225" cy="93281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180975</xdr:colOff>
      <xdr:row>1</xdr:row>
      <xdr:rowOff>57150</xdr:rowOff>
    </xdr:from>
    <xdr:to>
      <xdr:col>1</xdr:col>
      <xdr:colOff>1727200</xdr:colOff>
      <xdr:row>3</xdr:row>
      <xdr:rowOff>304165</xdr:rowOff>
    </xdr:to>
    <xdr:pic>
      <xdr:nvPicPr>
        <xdr:cNvPr id="3" name="Imagen 2">
          <a:extLst>
            <a:ext uri="{FF2B5EF4-FFF2-40B4-BE49-F238E27FC236}">
              <a16:creationId xmlns:a16="http://schemas.microsoft.com/office/drawing/2014/main" id="{183C179B-A7A8-49E1-8EEC-92743AD730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0075" y="342900"/>
          <a:ext cx="1546225" cy="93281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323850</xdr:colOff>
      <xdr:row>4</xdr:row>
      <xdr:rowOff>47625</xdr:rowOff>
    </xdr:from>
    <xdr:to>
      <xdr:col>2</xdr:col>
      <xdr:colOff>1870075</xdr:colOff>
      <xdr:row>8</xdr:row>
      <xdr:rowOff>46990</xdr:rowOff>
    </xdr:to>
    <xdr:pic>
      <xdr:nvPicPr>
        <xdr:cNvPr id="3" name="Imagen 2">
          <a:extLst>
            <a:ext uri="{FF2B5EF4-FFF2-40B4-BE49-F238E27FC236}">
              <a16:creationId xmlns:a16="http://schemas.microsoft.com/office/drawing/2014/main" id="{0F29F2B2-A3B5-435F-A213-D70173A03D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33525" y="771525"/>
          <a:ext cx="1546225" cy="93281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1%20CONTROL%20DOCUMENTOS%20Y%20REGISTROS\F26%20ACTA%20DE%20RECIBO%20PARCIAL%20CONTRATO%20DE%20OBR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ta pago parcial"/>
      <sheetName val="memorias de calculo"/>
    </sheetNames>
    <sheetDataSet>
      <sheetData sheetId="0"/>
      <sheetData sheetId="1">
        <row r="5">
          <cell r="I5"/>
        </row>
        <row r="11">
          <cell r="I11"/>
        </row>
        <row r="12">
          <cell r="I12"/>
        </row>
        <row r="15">
          <cell r="I15"/>
        </row>
        <row r="19">
          <cell r="I19"/>
        </row>
        <row r="27">
          <cell r="I27"/>
        </row>
        <row r="30">
          <cell r="I30"/>
        </row>
        <row r="53">
          <cell r="I53"/>
        </row>
        <row r="61">
          <cell r="I61"/>
        </row>
        <row r="66">
          <cell r="I66"/>
        </row>
        <row r="87">
          <cell r="I87"/>
        </row>
        <row r="108">
          <cell r="I108"/>
        </row>
        <row r="132">
          <cell r="I132"/>
        </row>
        <row r="135">
          <cell r="I135"/>
        </row>
        <row r="142">
          <cell r="I142"/>
        </row>
        <row r="147">
          <cell r="I147">
            <v>0</v>
          </cell>
        </row>
        <row r="148">
          <cell r="I148">
            <v>0</v>
          </cell>
        </row>
        <row r="149">
          <cell r="I149">
            <v>0</v>
          </cell>
        </row>
        <row r="157">
          <cell r="I157"/>
        </row>
        <row r="167">
          <cell r="I167"/>
        </row>
        <row r="175">
          <cell r="I175"/>
        </row>
        <row r="184">
          <cell r="I184"/>
        </row>
        <row r="200">
          <cell r="I200"/>
        </row>
        <row r="201">
          <cell r="I201"/>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7.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8.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2"/>
  <sheetViews>
    <sheetView view="pageBreakPreview" zoomScaleNormal="100" zoomScaleSheetLayoutView="100" workbookViewId="0">
      <selection activeCell="F43" sqref="F43"/>
    </sheetView>
  </sheetViews>
  <sheetFormatPr baseColWidth="10" defaultRowHeight="15" x14ac:dyDescent="0.25"/>
  <cols>
    <col min="1" max="1" width="5.85546875" bestFit="1" customWidth="1"/>
    <col min="2" max="2" width="40.7109375" customWidth="1"/>
    <col min="3" max="3" width="7.5703125" bestFit="1" customWidth="1"/>
    <col min="4" max="4" width="6.5703125" bestFit="1" customWidth="1"/>
    <col min="5" max="5" width="13.140625" bestFit="1" customWidth="1"/>
    <col min="6" max="6" width="15.28515625" bestFit="1" customWidth="1"/>
    <col min="8" max="8" width="13.5703125" bestFit="1" customWidth="1"/>
  </cols>
  <sheetData>
    <row r="1" spans="1:6" ht="15.75" thickBot="1" x14ac:dyDescent="0.3">
      <c r="A1" s="439" t="s">
        <v>645</v>
      </c>
      <c r="B1" s="440"/>
      <c r="C1" s="440"/>
      <c r="D1" s="440"/>
      <c r="E1" s="440"/>
      <c r="F1" s="441"/>
    </row>
    <row r="2" spans="1:6" ht="24" customHeight="1" thickBot="1" x14ac:dyDescent="0.3">
      <c r="A2" s="442" t="s">
        <v>646</v>
      </c>
      <c r="B2" s="443"/>
      <c r="C2" s="443"/>
      <c r="D2" s="443"/>
      <c r="E2" s="443"/>
      <c r="F2" s="444"/>
    </row>
    <row r="3" spans="1:6" ht="15.75" thickBot="1" x14ac:dyDescent="0.3">
      <c r="A3" s="122" t="s">
        <v>647</v>
      </c>
      <c r="B3" s="123" t="s">
        <v>498</v>
      </c>
      <c r="C3" s="123" t="s">
        <v>499</v>
      </c>
      <c r="D3" s="123" t="s">
        <v>506</v>
      </c>
      <c r="E3" s="123" t="s">
        <v>648</v>
      </c>
      <c r="F3" s="123" t="s">
        <v>649</v>
      </c>
    </row>
    <row r="4" spans="1:6" ht="15.75" thickBot="1" x14ac:dyDescent="0.3">
      <c r="A4" s="124">
        <v>1</v>
      </c>
      <c r="B4" s="125" t="s">
        <v>53</v>
      </c>
      <c r="C4" s="126"/>
      <c r="D4" s="127"/>
      <c r="E4" s="127" t="s">
        <v>650</v>
      </c>
      <c r="F4" s="126" t="s">
        <v>650</v>
      </c>
    </row>
    <row r="5" spans="1:6" ht="15.75" thickBot="1" x14ac:dyDescent="0.3">
      <c r="A5" s="128">
        <v>1.01</v>
      </c>
      <c r="B5" s="126" t="s">
        <v>651</v>
      </c>
      <c r="C5" s="127" t="s">
        <v>216</v>
      </c>
      <c r="D5" s="127">
        <v>46.44</v>
      </c>
      <c r="E5" s="129">
        <f>+'APU OBRA'!K38</f>
        <v>2800</v>
      </c>
      <c r="F5" s="129">
        <f>+ROUND(E5*D5,0)</f>
        <v>130032</v>
      </c>
    </row>
    <row r="6" spans="1:6" ht="15.75" thickBot="1" x14ac:dyDescent="0.3">
      <c r="A6" s="128">
        <v>1.21</v>
      </c>
      <c r="B6" s="126" t="s">
        <v>652</v>
      </c>
      <c r="C6" s="127" t="s">
        <v>216</v>
      </c>
      <c r="D6" s="127">
        <v>54.75</v>
      </c>
      <c r="E6" s="129">
        <f>+'APU OBRA'!K74</f>
        <v>3600</v>
      </c>
      <c r="F6" s="129">
        <f>+ROUND(E6*D6,0)</f>
        <v>197100</v>
      </c>
    </row>
    <row r="7" spans="1:6" ht="15.75" thickBot="1" x14ac:dyDescent="0.3">
      <c r="A7" s="128">
        <v>1.23</v>
      </c>
      <c r="B7" s="130" t="s">
        <v>653</v>
      </c>
      <c r="C7" s="127" t="s">
        <v>216</v>
      </c>
      <c r="D7" s="127">
        <v>18.149999999999999</v>
      </c>
      <c r="E7" s="129">
        <f>+'APU OBRA'!K110</f>
        <v>19700</v>
      </c>
      <c r="F7" s="129">
        <f>+ROUND(E7*D7,0)</f>
        <v>357555</v>
      </c>
    </row>
    <row r="8" spans="1:6" ht="15.75" thickBot="1" x14ac:dyDescent="0.3">
      <c r="A8" s="128">
        <v>1.04</v>
      </c>
      <c r="B8" s="130" t="s">
        <v>654</v>
      </c>
      <c r="C8" s="127" t="s">
        <v>216</v>
      </c>
      <c r="D8" s="127">
        <v>18.149999999999999</v>
      </c>
      <c r="E8" s="129">
        <f>+'APU OBRA'!K146</f>
        <v>67400</v>
      </c>
      <c r="F8" s="129">
        <f>+ROUND(E8*D8,0)</f>
        <v>1223310</v>
      </c>
    </row>
    <row r="9" spans="1:6" ht="15.75" thickBot="1" x14ac:dyDescent="0.3">
      <c r="A9" s="131"/>
      <c r="B9" s="132" t="s">
        <v>655</v>
      </c>
      <c r="C9" s="127" t="s">
        <v>650</v>
      </c>
      <c r="D9" s="127" t="s">
        <v>650</v>
      </c>
      <c r="E9" s="133"/>
      <c r="F9" s="134">
        <f>+SUM(F5:F8)</f>
        <v>1907997</v>
      </c>
    </row>
    <row r="10" spans="1:6" ht="15.75" thickBot="1" x14ac:dyDescent="0.3">
      <c r="A10" s="124">
        <v>2</v>
      </c>
      <c r="B10" s="125" t="s">
        <v>656</v>
      </c>
      <c r="C10" s="127"/>
      <c r="D10" s="127"/>
      <c r="E10" s="133"/>
      <c r="F10" s="133"/>
    </row>
    <row r="11" spans="1:6" ht="26.25" thickBot="1" x14ac:dyDescent="0.3">
      <c r="A11" s="128">
        <v>2.0099999999999998</v>
      </c>
      <c r="B11" s="130" t="s">
        <v>657</v>
      </c>
      <c r="C11" s="127" t="s">
        <v>172</v>
      </c>
      <c r="D11" s="127">
        <v>41.26</v>
      </c>
      <c r="E11" s="129">
        <f>+'APU OBRA'!K180</f>
        <v>27000</v>
      </c>
      <c r="F11" s="129">
        <f>+ROUND(E11*D11,0)</f>
        <v>1114020</v>
      </c>
    </row>
    <row r="12" spans="1:6" ht="15.75" thickBot="1" x14ac:dyDescent="0.3">
      <c r="A12" s="128">
        <v>2.02</v>
      </c>
      <c r="B12" s="130" t="s">
        <v>658</v>
      </c>
      <c r="C12" s="127" t="s">
        <v>172</v>
      </c>
      <c r="D12" s="127">
        <v>15</v>
      </c>
      <c r="E12" s="129">
        <f>+'APU OBRA'!K215</f>
        <v>29600</v>
      </c>
      <c r="F12" s="129">
        <f>+ROUND(E12*D12,0)</f>
        <v>444000</v>
      </c>
    </row>
    <row r="13" spans="1:6" ht="15.75" thickBot="1" x14ac:dyDescent="0.3">
      <c r="A13" s="128">
        <v>2.0299999999999998</v>
      </c>
      <c r="B13" s="130" t="s">
        <v>659</v>
      </c>
      <c r="C13" s="127" t="s">
        <v>172</v>
      </c>
      <c r="D13" s="127">
        <v>62.56</v>
      </c>
      <c r="E13" s="129">
        <f>+'APU OBRA'!K251</f>
        <v>43000</v>
      </c>
      <c r="F13" s="129">
        <f>+ROUND(E13*D13,0)</f>
        <v>2690080</v>
      </c>
    </row>
    <row r="14" spans="1:6" ht="15.75" thickBot="1" x14ac:dyDescent="0.3">
      <c r="A14" s="131"/>
      <c r="B14" s="132" t="s">
        <v>655</v>
      </c>
      <c r="C14" s="127" t="s">
        <v>650</v>
      </c>
      <c r="D14" s="127" t="s">
        <v>650</v>
      </c>
      <c r="E14" s="133"/>
      <c r="F14" s="134">
        <f>+SUM(F11:F13)</f>
        <v>4248100</v>
      </c>
    </row>
    <row r="15" spans="1:6" ht="15.75" thickBot="1" x14ac:dyDescent="0.3">
      <c r="A15" s="124">
        <v>3</v>
      </c>
      <c r="B15" s="125" t="s">
        <v>660</v>
      </c>
      <c r="C15" s="127"/>
      <c r="D15" s="127"/>
      <c r="E15" s="133"/>
      <c r="F15" s="133"/>
    </row>
    <row r="16" spans="1:6" ht="26.25" thickBot="1" x14ac:dyDescent="0.3">
      <c r="A16" s="128">
        <v>3.01</v>
      </c>
      <c r="B16" s="130" t="s">
        <v>661</v>
      </c>
      <c r="C16" s="127" t="s">
        <v>241</v>
      </c>
      <c r="D16" s="127">
        <v>31</v>
      </c>
      <c r="E16" s="129">
        <f>+'APU OBRA'!K287</f>
        <v>331400</v>
      </c>
      <c r="F16" s="129">
        <f>+ROUND(E16*D16,0)</f>
        <v>10273400</v>
      </c>
    </row>
    <row r="17" spans="1:6" ht="26.25" thickBot="1" x14ac:dyDescent="0.3">
      <c r="A17" s="128">
        <v>3.02</v>
      </c>
      <c r="B17" s="130" t="s">
        <v>662</v>
      </c>
      <c r="C17" s="127" t="s">
        <v>241</v>
      </c>
      <c r="D17" s="127">
        <v>10</v>
      </c>
      <c r="E17" s="129">
        <f>+'APU OBRA'!K324</f>
        <v>84900</v>
      </c>
      <c r="F17" s="129">
        <f>+ROUND(E17*D17,0)</f>
        <v>849000</v>
      </c>
    </row>
    <row r="18" spans="1:6" ht="15.75" thickBot="1" x14ac:dyDescent="0.3">
      <c r="A18" s="128">
        <v>3.03</v>
      </c>
      <c r="B18" s="130" t="s">
        <v>663</v>
      </c>
      <c r="C18" s="127" t="s">
        <v>172</v>
      </c>
      <c r="D18" s="127">
        <v>9.3000000000000007</v>
      </c>
      <c r="E18" s="129">
        <f>+'APU OBRA'!K360</f>
        <v>581900</v>
      </c>
      <c r="F18" s="129">
        <f>+ROUND(E18*D18,0)</f>
        <v>5411670</v>
      </c>
    </row>
    <row r="19" spans="1:6" ht="15.75" thickBot="1" x14ac:dyDescent="0.3">
      <c r="A19" s="131"/>
      <c r="B19" s="132" t="s">
        <v>655</v>
      </c>
      <c r="C19" s="127" t="s">
        <v>650</v>
      </c>
      <c r="D19" s="127" t="s">
        <v>650</v>
      </c>
      <c r="E19" s="133"/>
      <c r="F19" s="134">
        <f>+SUM(F16:F18)</f>
        <v>16534070</v>
      </c>
    </row>
    <row r="20" spans="1:6" ht="15.75" thickBot="1" x14ac:dyDescent="0.3">
      <c r="A20" s="124">
        <v>4</v>
      </c>
      <c r="B20" s="125" t="s">
        <v>664</v>
      </c>
      <c r="C20" s="127"/>
      <c r="D20" s="127"/>
      <c r="E20" s="133"/>
      <c r="F20" s="133"/>
    </row>
    <row r="21" spans="1:6" ht="26.25" thickBot="1" x14ac:dyDescent="0.3">
      <c r="A21" s="128">
        <v>4.01</v>
      </c>
      <c r="B21" s="130" t="s">
        <v>665</v>
      </c>
      <c r="C21" s="127" t="s">
        <v>241</v>
      </c>
      <c r="D21" s="127">
        <v>7</v>
      </c>
      <c r="E21" s="129">
        <f>+'APU OBRA'!K396</f>
        <v>819400</v>
      </c>
      <c r="F21" s="129">
        <f t="shared" ref="F21:F41" si="0">+ROUND(E21*D21,0)</f>
        <v>5735800</v>
      </c>
    </row>
    <row r="22" spans="1:6" ht="26.25" thickBot="1" x14ac:dyDescent="0.3">
      <c r="A22" s="128">
        <v>4.0199999999999996</v>
      </c>
      <c r="B22" s="130" t="s">
        <v>666</v>
      </c>
      <c r="C22" s="127" t="s">
        <v>241</v>
      </c>
      <c r="D22" s="127">
        <v>3</v>
      </c>
      <c r="E22" s="129">
        <f>+'APU OBRA'!K432</f>
        <v>432900</v>
      </c>
      <c r="F22" s="129">
        <f t="shared" si="0"/>
        <v>1298700</v>
      </c>
    </row>
    <row r="23" spans="1:6" ht="26.25" thickBot="1" x14ac:dyDescent="0.3">
      <c r="A23" s="128">
        <v>4.03</v>
      </c>
      <c r="B23" s="130" t="s">
        <v>667</v>
      </c>
      <c r="C23" s="127" t="s">
        <v>241</v>
      </c>
      <c r="D23" s="127">
        <v>15</v>
      </c>
      <c r="E23" s="129">
        <f>+'APU OBRA'!K468</f>
        <v>618400</v>
      </c>
      <c r="F23" s="129">
        <f t="shared" si="0"/>
        <v>9276000</v>
      </c>
    </row>
    <row r="24" spans="1:6" ht="26.25" thickBot="1" x14ac:dyDescent="0.3">
      <c r="A24" s="128">
        <v>4.04</v>
      </c>
      <c r="B24" s="130" t="s">
        <v>668</v>
      </c>
      <c r="C24" s="127" t="s">
        <v>241</v>
      </c>
      <c r="D24" s="127">
        <v>17</v>
      </c>
      <c r="E24" s="129">
        <f>+'APU OBRA'!K504</f>
        <v>1584700</v>
      </c>
      <c r="F24" s="129">
        <f t="shared" si="0"/>
        <v>26939900</v>
      </c>
    </row>
    <row r="25" spans="1:6" ht="26.25" thickBot="1" x14ac:dyDescent="0.3">
      <c r="A25" s="128">
        <v>4.05</v>
      </c>
      <c r="B25" s="130" t="s">
        <v>669</v>
      </c>
      <c r="C25" s="127" t="s">
        <v>241</v>
      </c>
      <c r="D25" s="127">
        <v>2</v>
      </c>
      <c r="E25" s="129">
        <f>+'APU OBRA'!K540</f>
        <v>2319100</v>
      </c>
      <c r="F25" s="129">
        <f t="shared" si="0"/>
        <v>4638200</v>
      </c>
    </row>
    <row r="26" spans="1:6" ht="26.25" thickBot="1" x14ac:dyDescent="0.3">
      <c r="A26" s="128">
        <v>4.0599999999999996</v>
      </c>
      <c r="B26" s="130" t="s">
        <v>670</v>
      </c>
      <c r="C26" s="127" t="s">
        <v>241</v>
      </c>
      <c r="D26" s="127">
        <v>1</v>
      </c>
      <c r="E26" s="129">
        <f>+'APU OBRA'!K576</f>
        <v>4545500</v>
      </c>
      <c r="F26" s="129">
        <f t="shared" si="0"/>
        <v>4545500</v>
      </c>
    </row>
    <row r="27" spans="1:6" ht="26.25" thickBot="1" x14ac:dyDescent="0.3">
      <c r="A27" s="128">
        <v>4.07</v>
      </c>
      <c r="B27" s="130" t="s">
        <v>671</v>
      </c>
      <c r="C27" s="127" t="s">
        <v>241</v>
      </c>
      <c r="D27" s="127">
        <v>1</v>
      </c>
      <c r="E27" s="129">
        <f>+'APU OBRA'!K612</f>
        <v>5411300</v>
      </c>
      <c r="F27" s="129">
        <f t="shared" si="0"/>
        <v>5411300</v>
      </c>
    </row>
    <row r="28" spans="1:6" ht="15.75" thickBot="1" x14ac:dyDescent="0.3">
      <c r="A28" s="128">
        <v>4.08</v>
      </c>
      <c r="B28" s="130" t="s">
        <v>672</v>
      </c>
      <c r="C28" s="127" t="s">
        <v>241</v>
      </c>
      <c r="D28" s="127">
        <v>30</v>
      </c>
      <c r="E28" s="129">
        <f>+'APU OBRA'!K649</f>
        <v>44700</v>
      </c>
      <c r="F28" s="129">
        <f t="shared" si="0"/>
        <v>1341000</v>
      </c>
    </row>
    <row r="29" spans="1:6" ht="15.75" thickBot="1" x14ac:dyDescent="0.3">
      <c r="A29" s="128">
        <v>4.09</v>
      </c>
      <c r="B29" s="130" t="s">
        <v>673</v>
      </c>
      <c r="C29" s="127" t="s">
        <v>241</v>
      </c>
      <c r="D29" s="127">
        <v>6</v>
      </c>
      <c r="E29" s="129">
        <f>+'APU OBRA'!K686</f>
        <v>26100</v>
      </c>
      <c r="F29" s="129">
        <f t="shared" si="0"/>
        <v>156600</v>
      </c>
    </row>
    <row r="30" spans="1:6" ht="15.75" thickBot="1" x14ac:dyDescent="0.3">
      <c r="A30" s="128">
        <v>4.0999999999999996</v>
      </c>
      <c r="B30" s="130" t="s">
        <v>674</v>
      </c>
      <c r="C30" s="127" t="s">
        <v>241</v>
      </c>
      <c r="D30" s="127">
        <v>14</v>
      </c>
      <c r="E30" s="129">
        <f>+'APU OBRA'!K723</f>
        <v>72600</v>
      </c>
      <c r="F30" s="129">
        <f t="shared" si="0"/>
        <v>1016400</v>
      </c>
    </row>
    <row r="31" spans="1:6" ht="15.75" thickBot="1" x14ac:dyDescent="0.3">
      <c r="A31" s="128">
        <v>4.1100000000000003</v>
      </c>
      <c r="B31" s="130" t="s">
        <v>675</v>
      </c>
      <c r="C31" s="127" t="s">
        <v>241</v>
      </c>
      <c r="D31" s="127">
        <v>34</v>
      </c>
      <c r="E31" s="129">
        <f>+'APU OBRA'!K760</f>
        <v>186500</v>
      </c>
      <c r="F31" s="129">
        <f t="shared" si="0"/>
        <v>6341000</v>
      </c>
    </row>
    <row r="32" spans="1:6" ht="15.75" thickBot="1" x14ac:dyDescent="0.3">
      <c r="A32" s="128">
        <v>4.12</v>
      </c>
      <c r="B32" s="130" t="s">
        <v>676</v>
      </c>
      <c r="C32" s="127" t="s">
        <v>241</v>
      </c>
      <c r="D32" s="127">
        <v>4</v>
      </c>
      <c r="E32" s="129">
        <f>+'APU OBRA'!K797</f>
        <v>342700</v>
      </c>
      <c r="F32" s="129">
        <f t="shared" si="0"/>
        <v>1370800</v>
      </c>
    </row>
    <row r="33" spans="1:6" ht="15.75" thickBot="1" x14ac:dyDescent="0.3">
      <c r="A33" s="128">
        <v>4.13</v>
      </c>
      <c r="B33" s="130" t="s">
        <v>677</v>
      </c>
      <c r="C33" s="127" t="s">
        <v>241</v>
      </c>
      <c r="D33" s="127">
        <v>2</v>
      </c>
      <c r="E33" s="129">
        <f>+'APU OBRA'!K834</f>
        <v>612200</v>
      </c>
      <c r="F33" s="129">
        <f t="shared" si="0"/>
        <v>1224400</v>
      </c>
    </row>
    <row r="34" spans="1:6" ht="15.75" thickBot="1" x14ac:dyDescent="0.3">
      <c r="A34" s="128">
        <v>4.1399999999999997</v>
      </c>
      <c r="B34" s="130" t="s">
        <v>678</v>
      </c>
      <c r="C34" s="127" t="s">
        <v>241</v>
      </c>
      <c r="D34" s="127">
        <v>2</v>
      </c>
      <c r="E34" s="129">
        <f>+'APU OBRA'!K871</f>
        <v>948800</v>
      </c>
      <c r="F34" s="129">
        <f t="shared" si="0"/>
        <v>1897600</v>
      </c>
    </row>
    <row r="35" spans="1:6" ht="26.25" thickBot="1" x14ac:dyDescent="0.3">
      <c r="A35" s="128">
        <v>4.1500000000000004</v>
      </c>
      <c r="B35" s="130" t="s">
        <v>679</v>
      </c>
      <c r="C35" s="127" t="s">
        <v>60</v>
      </c>
      <c r="D35" s="127">
        <v>14</v>
      </c>
      <c r="E35" s="129">
        <f>+'APU OBRA'!K908</f>
        <v>237100</v>
      </c>
      <c r="F35" s="129">
        <f t="shared" si="0"/>
        <v>3319400</v>
      </c>
    </row>
    <row r="36" spans="1:6" ht="26.25" thickBot="1" x14ac:dyDescent="0.3">
      <c r="A36" s="128">
        <v>4.16</v>
      </c>
      <c r="B36" s="130" t="s">
        <v>680</v>
      </c>
      <c r="C36" s="127" t="s">
        <v>60</v>
      </c>
      <c r="D36" s="127">
        <v>6</v>
      </c>
      <c r="E36" s="129">
        <f>+'APU OBRA'!K945</f>
        <v>71000</v>
      </c>
      <c r="F36" s="129">
        <f t="shared" si="0"/>
        <v>426000</v>
      </c>
    </row>
    <row r="37" spans="1:6" ht="26.25" thickBot="1" x14ac:dyDescent="0.3">
      <c r="A37" s="128">
        <v>4.17</v>
      </c>
      <c r="B37" s="130" t="s">
        <v>681</v>
      </c>
      <c r="C37" s="127" t="s">
        <v>60</v>
      </c>
      <c r="D37" s="127">
        <v>30</v>
      </c>
      <c r="E37" s="129">
        <f>+'APU OBRA'!K982</f>
        <v>146800</v>
      </c>
      <c r="F37" s="129">
        <f t="shared" si="0"/>
        <v>4404000</v>
      </c>
    </row>
    <row r="38" spans="1:6" ht="26.25" thickBot="1" x14ac:dyDescent="0.3">
      <c r="A38" s="128">
        <v>4.18</v>
      </c>
      <c r="B38" s="130" t="s">
        <v>682</v>
      </c>
      <c r="C38" s="127" t="s">
        <v>60</v>
      </c>
      <c r="D38" s="127">
        <v>34</v>
      </c>
      <c r="E38" s="129">
        <f>+'APU OBRA'!K1019</f>
        <v>113900</v>
      </c>
      <c r="F38" s="129">
        <f t="shared" si="0"/>
        <v>3872600</v>
      </c>
    </row>
    <row r="39" spans="1:6" ht="26.25" thickBot="1" x14ac:dyDescent="0.3">
      <c r="A39" s="128">
        <v>4.1900000000000004</v>
      </c>
      <c r="B39" s="130" t="s">
        <v>683</v>
      </c>
      <c r="C39" s="127" t="s">
        <v>60</v>
      </c>
      <c r="D39" s="127">
        <v>4</v>
      </c>
      <c r="E39" s="129">
        <f>+'APU OBRA'!K1056</f>
        <v>183300</v>
      </c>
      <c r="F39" s="129">
        <f t="shared" si="0"/>
        <v>733200</v>
      </c>
    </row>
    <row r="40" spans="1:6" ht="26.25" thickBot="1" x14ac:dyDescent="0.3">
      <c r="A40" s="128">
        <v>4.2</v>
      </c>
      <c r="B40" s="130" t="s">
        <v>684</v>
      </c>
      <c r="C40" s="127" t="s">
        <v>60</v>
      </c>
      <c r="D40" s="127">
        <v>2</v>
      </c>
      <c r="E40" s="129">
        <f>+'APU OBRA'!K1093</f>
        <v>278200</v>
      </c>
      <c r="F40" s="129">
        <f t="shared" si="0"/>
        <v>556400</v>
      </c>
    </row>
    <row r="41" spans="1:6" ht="26.25" thickBot="1" x14ac:dyDescent="0.3">
      <c r="A41" s="128">
        <v>4.21</v>
      </c>
      <c r="B41" s="130" t="s">
        <v>685</v>
      </c>
      <c r="C41" s="127" t="s">
        <v>60</v>
      </c>
      <c r="D41" s="127">
        <v>2</v>
      </c>
      <c r="E41" s="129">
        <f>+'APU OBRA'!K1130</f>
        <v>381800</v>
      </c>
      <c r="F41" s="129">
        <f t="shared" si="0"/>
        <v>763600</v>
      </c>
    </row>
    <row r="42" spans="1:6" ht="15.75" thickBot="1" x14ac:dyDescent="0.3">
      <c r="A42" s="131"/>
      <c r="B42" s="132" t="s">
        <v>655</v>
      </c>
      <c r="C42" s="127" t="s">
        <v>650</v>
      </c>
      <c r="D42" s="127" t="s">
        <v>650</v>
      </c>
      <c r="E42" s="133"/>
      <c r="F42" s="134">
        <f>+SUM(F21:F41)</f>
        <v>85268400</v>
      </c>
    </row>
    <row r="43" spans="1:6" ht="15.75" thickBot="1" x14ac:dyDescent="0.3">
      <c r="A43" s="124">
        <v>5</v>
      </c>
      <c r="B43" s="125" t="s">
        <v>686</v>
      </c>
      <c r="C43" s="127"/>
      <c r="D43" s="127"/>
      <c r="E43" s="133"/>
      <c r="F43" s="133"/>
    </row>
    <row r="44" spans="1:6" ht="15.75" thickBot="1" x14ac:dyDescent="0.3">
      <c r="A44" s="128">
        <v>5.01</v>
      </c>
      <c r="B44" s="126" t="s">
        <v>687</v>
      </c>
      <c r="C44" s="127" t="s">
        <v>241</v>
      </c>
      <c r="D44" s="127">
        <v>46</v>
      </c>
      <c r="E44" s="129">
        <f>+'APU OBRA'!K1165</f>
        <v>37200</v>
      </c>
      <c r="F44" s="129">
        <f>+ROUND(E44*D44,0)</f>
        <v>1711200</v>
      </c>
    </row>
    <row r="45" spans="1:6" ht="15.75" thickBot="1" x14ac:dyDescent="0.3">
      <c r="A45" s="128">
        <v>5.0199999999999996</v>
      </c>
      <c r="B45" s="126" t="s">
        <v>688</v>
      </c>
      <c r="C45" s="127" t="s">
        <v>689</v>
      </c>
      <c r="D45" s="127">
        <v>1</v>
      </c>
      <c r="E45" s="129">
        <f>+'APU OBRA'!K1200</f>
        <v>1499100</v>
      </c>
      <c r="F45" s="129">
        <f>+ROUND(E45*D45,0)</f>
        <v>1499100</v>
      </c>
    </row>
    <row r="46" spans="1:6" ht="15.75" thickBot="1" x14ac:dyDescent="0.3">
      <c r="A46" s="131"/>
      <c r="B46" s="132" t="s">
        <v>655</v>
      </c>
      <c r="C46" s="126"/>
      <c r="D46" s="127"/>
      <c r="E46" s="127" t="s">
        <v>650</v>
      </c>
      <c r="F46" s="134">
        <f>+SUM(F44:F45)</f>
        <v>3210300</v>
      </c>
    </row>
    <row r="47" spans="1:6" ht="15.75" thickBot="1" x14ac:dyDescent="0.3">
      <c r="A47" s="131"/>
      <c r="B47" s="125" t="s">
        <v>521</v>
      </c>
      <c r="C47" s="126"/>
      <c r="D47" s="126"/>
      <c r="E47" s="127"/>
      <c r="F47" s="134">
        <f>+F9+F14+F19+F42+F46</f>
        <v>111168867</v>
      </c>
    </row>
    <row r="48" spans="1:6" ht="15.75" thickBot="1" x14ac:dyDescent="0.3">
      <c r="A48" s="131"/>
      <c r="B48" s="125" t="s">
        <v>690</v>
      </c>
      <c r="C48" s="135">
        <v>0.28000000000000003</v>
      </c>
      <c r="D48" s="126"/>
      <c r="E48" s="127"/>
      <c r="F48" s="129">
        <f>+ROUND(F47*C48,2)</f>
        <v>31127282.760000002</v>
      </c>
    </row>
    <row r="49" spans="1:8" ht="15.75" thickBot="1" x14ac:dyDescent="0.3">
      <c r="A49" s="131"/>
      <c r="B49" s="125" t="s">
        <v>691</v>
      </c>
      <c r="C49" s="135">
        <v>0.02</v>
      </c>
      <c r="D49" s="126"/>
      <c r="E49" s="127"/>
      <c r="F49" s="129">
        <f>+ROUND(F47*C49,2)</f>
        <v>2223377.34</v>
      </c>
    </row>
    <row r="50" spans="1:8" ht="15.75" thickBot="1" x14ac:dyDescent="0.3">
      <c r="A50" s="131"/>
      <c r="B50" s="125" t="s">
        <v>692</v>
      </c>
      <c r="C50" s="135">
        <v>0.05</v>
      </c>
      <c r="D50" s="126"/>
      <c r="E50" s="127"/>
      <c r="F50" s="129">
        <f>+ROUND(F47*C50,2)</f>
        <v>5558443.3499999996</v>
      </c>
    </row>
    <row r="51" spans="1:8" ht="15.75" thickBot="1" x14ac:dyDescent="0.3">
      <c r="A51" s="131"/>
      <c r="B51" s="125" t="s">
        <v>693</v>
      </c>
      <c r="C51" s="126"/>
      <c r="D51" s="126"/>
      <c r="E51" s="127"/>
      <c r="F51" s="144">
        <v>150077970.44999999</v>
      </c>
    </row>
    <row r="52" spans="1:8" x14ac:dyDescent="0.25">
      <c r="H52" s="138"/>
    </row>
  </sheetData>
  <mergeCells count="2">
    <mergeCell ref="A1:F1"/>
    <mergeCell ref="A2:F2"/>
  </mergeCells>
  <pageMargins left="0.7" right="0.7" top="0.75" bottom="0.75" header="0.3" footer="0.3"/>
  <pageSetup paperSize="9" scale="7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YX94"/>
  <sheetViews>
    <sheetView tabSelected="1" view="pageBreakPreview" zoomScale="90" zoomScaleNormal="90" zoomScaleSheetLayoutView="90" workbookViewId="0">
      <selection activeCell="H10" sqref="H10:I10"/>
    </sheetView>
  </sheetViews>
  <sheetFormatPr baseColWidth="10" defaultColWidth="11.42578125" defaultRowHeight="14.25" x14ac:dyDescent="0.2"/>
  <cols>
    <col min="1" max="1" width="2.28515625" style="880" customWidth="1"/>
    <col min="2" max="2" width="9.42578125" style="880" customWidth="1"/>
    <col min="3" max="3" width="56.5703125" style="880" customWidth="1"/>
    <col min="4" max="4" width="9.28515625" style="880" customWidth="1"/>
    <col min="5" max="5" width="10.140625" style="880" customWidth="1"/>
    <col min="6" max="6" width="17.140625" style="881" customWidth="1"/>
    <col min="7" max="7" width="20.5703125" style="882" customWidth="1"/>
    <col min="8" max="8" width="9.140625" style="883" customWidth="1"/>
    <col min="9" max="9" width="19.42578125" style="884" customWidth="1"/>
    <col min="10" max="10" width="8.7109375" style="883" customWidth="1"/>
    <col min="11" max="11" width="17.42578125" style="881" customWidth="1"/>
    <col min="12" max="12" width="14.7109375" style="885" customWidth="1"/>
    <col min="13" max="13" width="20" style="880" customWidth="1"/>
    <col min="14" max="14" width="21.28515625" style="880" customWidth="1"/>
    <col min="15" max="16384" width="11.42578125" style="880"/>
  </cols>
  <sheetData>
    <row r="1" spans="1:13" ht="15" thickBot="1" x14ac:dyDescent="0.25"/>
    <row r="2" spans="1:13" s="423" customFormat="1" ht="26.25" customHeight="1" x14ac:dyDescent="0.25">
      <c r="A2" s="886"/>
      <c r="B2" s="628"/>
      <c r="C2" s="628"/>
      <c r="D2" s="617" t="s">
        <v>1068</v>
      </c>
      <c r="E2" s="887"/>
      <c r="F2" s="887"/>
      <c r="G2" s="887"/>
      <c r="H2" s="887"/>
      <c r="I2" s="887"/>
      <c r="J2" s="887"/>
      <c r="K2" s="618"/>
      <c r="L2" s="1092" t="s">
        <v>1082</v>
      </c>
      <c r="M2" s="1093" t="s">
        <v>959</v>
      </c>
    </row>
    <row r="3" spans="1:13" s="423" customFormat="1" ht="26.25" customHeight="1" x14ac:dyDescent="0.25">
      <c r="A3" s="888"/>
      <c r="B3" s="628"/>
      <c r="C3" s="628"/>
      <c r="D3" s="621"/>
      <c r="E3" s="889"/>
      <c r="F3" s="889"/>
      <c r="G3" s="889"/>
      <c r="H3" s="889"/>
      <c r="I3" s="889"/>
      <c r="J3" s="889"/>
      <c r="K3" s="622"/>
      <c r="L3" s="1092" t="s">
        <v>764</v>
      </c>
      <c r="M3" s="1091"/>
    </row>
    <row r="4" spans="1:13" s="423" customFormat="1" ht="26.25" customHeight="1" x14ac:dyDescent="0.25">
      <c r="A4" s="888"/>
      <c r="B4" s="628"/>
      <c r="C4" s="628"/>
      <c r="D4" s="629" t="s">
        <v>1070</v>
      </c>
      <c r="E4" s="863"/>
      <c r="F4" s="863"/>
      <c r="G4" s="863"/>
      <c r="H4" s="863"/>
      <c r="I4" s="863"/>
      <c r="J4" s="863"/>
      <c r="K4" s="864"/>
      <c r="L4" s="1092" t="s">
        <v>960</v>
      </c>
      <c r="M4" s="1093" t="s">
        <v>961</v>
      </c>
    </row>
    <row r="5" spans="1:13" s="423" customFormat="1" ht="37.5" customHeight="1" x14ac:dyDescent="0.25">
      <c r="A5" s="888"/>
      <c r="B5" s="630" t="s">
        <v>1069</v>
      </c>
      <c r="C5" s="630"/>
      <c r="D5" s="630"/>
      <c r="E5" s="630"/>
      <c r="F5" s="630"/>
      <c r="G5" s="630"/>
      <c r="H5" s="865"/>
      <c r="I5" s="865"/>
      <c r="J5" s="865"/>
      <c r="K5" s="865"/>
      <c r="L5" s="865"/>
      <c r="M5" s="865"/>
    </row>
    <row r="6" spans="1:13" s="423" customFormat="1" ht="33" customHeight="1" x14ac:dyDescent="0.25">
      <c r="A6" s="888"/>
      <c r="B6" s="630" t="s">
        <v>962</v>
      </c>
      <c r="C6" s="630"/>
      <c r="D6" s="635" t="s">
        <v>963</v>
      </c>
      <c r="E6" s="866"/>
      <c r="F6" s="866"/>
      <c r="G6" s="866"/>
      <c r="H6" s="866"/>
      <c r="I6" s="866"/>
      <c r="J6" s="866"/>
      <c r="K6" s="866"/>
      <c r="L6" s="866"/>
      <c r="M6" s="867"/>
    </row>
    <row r="7" spans="1:13" s="423" customFormat="1" ht="32.25" customHeight="1" x14ac:dyDescent="0.25">
      <c r="A7" s="888"/>
      <c r="B7" s="617" t="s">
        <v>796</v>
      </c>
      <c r="C7" s="618"/>
      <c r="D7" s="616" t="s">
        <v>1071</v>
      </c>
      <c r="E7" s="616"/>
      <c r="F7" s="616"/>
      <c r="G7" s="616"/>
      <c r="H7" s="623" t="s">
        <v>1072</v>
      </c>
      <c r="I7" s="623"/>
      <c r="J7" s="624">
        <v>0</v>
      </c>
      <c r="K7" s="624"/>
      <c r="L7" s="613" t="s">
        <v>1074</v>
      </c>
      <c r="M7" s="613"/>
    </row>
    <row r="8" spans="1:13" s="423" customFormat="1" ht="32.25" customHeight="1" x14ac:dyDescent="0.25">
      <c r="A8" s="890"/>
      <c r="B8" s="619"/>
      <c r="C8" s="620"/>
      <c r="D8" s="616"/>
      <c r="E8" s="616"/>
      <c r="F8" s="616"/>
      <c r="G8" s="616"/>
      <c r="H8" s="623" t="s">
        <v>1073</v>
      </c>
      <c r="I8" s="623"/>
      <c r="J8" s="624">
        <v>0</v>
      </c>
      <c r="K8" s="624"/>
      <c r="L8" s="868" t="e">
        <f>ROUND(M79/G79,0)</f>
        <v>#DIV/0!</v>
      </c>
      <c r="M8" s="869"/>
    </row>
    <row r="9" spans="1:13" s="423" customFormat="1" ht="32.25" customHeight="1" x14ac:dyDescent="0.25">
      <c r="A9" s="890"/>
      <c r="B9" s="621"/>
      <c r="C9" s="622"/>
      <c r="D9" s="616"/>
      <c r="E9" s="616"/>
      <c r="F9" s="616"/>
      <c r="G9" s="616"/>
      <c r="H9" s="623" t="s">
        <v>769</v>
      </c>
      <c r="I9" s="623"/>
      <c r="J9" s="625">
        <v>0</v>
      </c>
      <c r="K9" s="625"/>
      <c r="L9" s="870"/>
      <c r="M9" s="871"/>
    </row>
    <row r="10" spans="1:13" s="423" customFormat="1" ht="30" customHeight="1" x14ac:dyDescent="0.25">
      <c r="A10" s="872"/>
      <c r="B10" s="630" t="s">
        <v>964</v>
      </c>
      <c r="C10" s="630"/>
      <c r="D10" s="630"/>
      <c r="E10" s="630"/>
      <c r="F10" s="630"/>
      <c r="G10" s="630"/>
      <c r="H10" s="626" t="s">
        <v>965</v>
      </c>
      <c r="I10" s="626"/>
      <c r="J10" s="626" t="s">
        <v>966</v>
      </c>
      <c r="K10" s="626"/>
      <c r="L10" s="627" t="s">
        <v>967</v>
      </c>
      <c r="M10" s="627"/>
    </row>
    <row r="11" spans="1:13" s="423" customFormat="1" ht="30" customHeight="1" x14ac:dyDescent="0.25">
      <c r="A11" s="872"/>
      <c r="B11" s="425" t="s">
        <v>968</v>
      </c>
      <c r="C11" s="425" t="s">
        <v>969</v>
      </c>
      <c r="D11" s="424" t="s">
        <v>772</v>
      </c>
      <c r="E11" s="425" t="s">
        <v>970</v>
      </c>
      <c r="F11" s="426" t="s">
        <v>531</v>
      </c>
      <c r="G11" s="425" t="s">
        <v>971</v>
      </c>
      <c r="H11" s="427" t="s">
        <v>772</v>
      </c>
      <c r="I11" s="428" t="s">
        <v>537</v>
      </c>
      <c r="J11" s="427" t="s">
        <v>772</v>
      </c>
      <c r="K11" s="429" t="s">
        <v>537</v>
      </c>
      <c r="L11" s="430" t="s">
        <v>772</v>
      </c>
      <c r="M11" s="429" t="s">
        <v>537</v>
      </c>
    </row>
    <row r="12" spans="1:13" s="873" customFormat="1" x14ac:dyDescent="0.25">
      <c r="B12" s="431"/>
      <c r="C12" s="432"/>
      <c r="D12" s="433"/>
      <c r="E12" s="433"/>
      <c r="F12" s="434"/>
      <c r="G12" s="433"/>
      <c r="H12" s="431"/>
      <c r="I12" s="434"/>
      <c r="J12" s="431"/>
      <c r="K12" s="434"/>
      <c r="L12" s="435"/>
      <c r="M12" s="433"/>
    </row>
    <row r="13" spans="1:13" s="900" customFormat="1" ht="15.6" customHeight="1" x14ac:dyDescent="0.25">
      <c r="A13" s="891"/>
      <c r="B13" s="892" t="s">
        <v>972</v>
      </c>
      <c r="C13" s="893" t="s">
        <v>973</v>
      </c>
      <c r="D13" s="425"/>
      <c r="E13" s="425"/>
      <c r="F13" s="894"/>
      <c r="G13" s="893"/>
      <c r="H13" s="895"/>
      <c r="I13" s="896"/>
      <c r="J13" s="895"/>
      <c r="K13" s="897"/>
      <c r="L13" s="898"/>
      <c r="M13" s="899"/>
    </row>
    <row r="14" spans="1:13" x14ac:dyDescent="0.2">
      <c r="A14" s="901"/>
      <c r="B14" s="902" t="s">
        <v>974</v>
      </c>
      <c r="C14" s="903" t="s">
        <v>975</v>
      </c>
      <c r="D14" s="904"/>
      <c r="E14" s="902"/>
      <c r="F14" s="905"/>
      <c r="G14" s="906"/>
      <c r="H14" s="907"/>
      <c r="I14" s="908"/>
      <c r="J14" s="907"/>
      <c r="K14" s="909"/>
      <c r="L14" s="910"/>
      <c r="M14" s="911"/>
    </row>
    <row r="15" spans="1:13" x14ac:dyDescent="0.2">
      <c r="A15" s="901"/>
      <c r="B15" s="902" t="s">
        <v>976</v>
      </c>
      <c r="C15" s="903" t="s">
        <v>977</v>
      </c>
      <c r="D15" s="904"/>
      <c r="E15" s="902"/>
      <c r="F15" s="905"/>
      <c r="G15" s="906"/>
      <c r="H15" s="907"/>
      <c r="I15" s="908"/>
      <c r="J15" s="907"/>
      <c r="K15" s="909"/>
      <c r="L15" s="910"/>
      <c r="M15" s="911"/>
    </row>
    <row r="16" spans="1:13" ht="28.5" x14ac:dyDescent="0.2">
      <c r="A16" s="901"/>
      <c r="B16" s="902" t="s">
        <v>978</v>
      </c>
      <c r="C16" s="912" t="s">
        <v>979</v>
      </c>
      <c r="D16" s="904"/>
      <c r="E16" s="902"/>
      <c r="F16" s="905"/>
      <c r="G16" s="906"/>
      <c r="H16" s="907"/>
      <c r="I16" s="908"/>
      <c r="J16" s="907"/>
      <c r="K16" s="909"/>
      <c r="L16" s="910"/>
      <c r="M16" s="911"/>
    </row>
    <row r="17" spans="1:13" ht="23.25" customHeight="1" x14ac:dyDescent="0.2">
      <c r="A17" s="901"/>
      <c r="B17" s="902" t="s">
        <v>980</v>
      </c>
      <c r="C17" s="912" t="s">
        <v>981</v>
      </c>
      <c r="D17" s="904"/>
      <c r="E17" s="902"/>
      <c r="F17" s="905"/>
      <c r="G17" s="906"/>
      <c r="H17" s="907"/>
      <c r="I17" s="908"/>
      <c r="J17" s="907"/>
      <c r="K17" s="909"/>
      <c r="L17" s="910"/>
      <c r="M17" s="911"/>
    </row>
    <row r="18" spans="1:13" ht="14.45" customHeight="1" x14ac:dyDescent="0.2">
      <c r="A18" s="901"/>
      <c r="B18" s="902" t="s">
        <v>982</v>
      </c>
      <c r="C18" s="903" t="s">
        <v>983</v>
      </c>
      <c r="D18" s="904"/>
      <c r="E18" s="902"/>
      <c r="F18" s="905"/>
      <c r="G18" s="906"/>
      <c r="H18" s="907"/>
      <c r="I18" s="908"/>
      <c r="J18" s="907"/>
      <c r="K18" s="909"/>
      <c r="L18" s="910"/>
      <c r="M18" s="911"/>
    </row>
    <row r="19" spans="1:13" ht="24.75" customHeight="1" x14ac:dyDescent="0.2">
      <c r="A19" s="901"/>
      <c r="B19" s="902" t="s">
        <v>984</v>
      </c>
      <c r="C19" s="912" t="s">
        <v>985</v>
      </c>
      <c r="D19" s="904"/>
      <c r="E19" s="902"/>
      <c r="F19" s="905"/>
      <c r="G19" s="906"/>
      <c r="H19" s="907"/>
      <c r="I19" s="908"/>
      <c r="J19" s="907"/>
      <c r="K19" s="909"/>
      <c r="L19" s="910"/>
      <c r="M19" s="911"/>
    </row>
    <row r="20" spans="1:13" ht="28.5" x14ac:dyDescent="0.2">
      <c r="A20" s="901"/>
      <c r="B20" s="902" t="s">
        <v>986</v>
      </c>
      <c r="C20" s="912" t="s">
        <v>987</v>
      </c>
      <c r="D20" s="904"/>
      <c r="E20" s="902"/>
      <c r="F20" s="905"/>
      <c r="G20" s="906"/>
      <c r="H20" s="907"/>
      <c r="I20" s="908"/>
      <c r="J20" s="907"/>
      <c r="K20" s="909"/>
      <c r="L20" s="910"/>
      <c r="M20" s="911"/>
    </row>
    <row r="21" spans="1:13" x14ac:dyDescent="0.2">
      <c r="A21" s="901"/>
      <c r="B21" s="902" t="s">
        <v>988</v>
      </c>
      <c r="C21" s="903" t="s">
        <v>989</v>
      </c>
      <c r="D21" s="904"/>
      <c r="E21" s="902"/>
      <c r="F21" s="905"/>
      <c r="G21" s="906"/>
      <c r="H21" s="907"/>
      <c r="I21" s="908"/>
      <c r="J21" s="907"/>
      <c r="K21" s="909"/>
      <c r="L21" s="910"/>
      <c r="M21" s="911"/>
    </row>
    <row r="22" spans="1:13" ht="13.15" customHeight="1" x14ac:dyDescent="0.2">
      <c r="A22" s="901"/>
      <c r="B22" s="902" t="s">
        <v>990</v>
      </c>
      <c r="C22" s="903" t="s">
        <v>991</v>
      </c>
      <c r="D22" s="904"/>
      <c r="E22" s="902"/>
      <c r="F22" s="905"/>
      <c r="G22" s="906"/>
      <c r="H22" s="907"/>
      <c r="I22" s="908"/>
      <c r="J22" s="907"/>
      <c r="K22" s="909"/>
      <c r="L22" s="910"/>
      <c r="M22" s="911"/>
    </row>
    <row r="23" spans="1:13" x14ac:dyDescent="0.2">
      <c r="A23" s="901"/>
      <c r="B23" s="902" t="s">
        <v>992</v>
      </c>
      <c r="C23" s="903" t="s">
        <v>993</v>
      </c>
      <c r="D23" s="904"/>
      <c r="E23" s="902"/>
      <c r="F23" s="905"/>
      <c r="G23" s="906"/>
      <c r="H23" s="907"/>
      <c r="I23" s="908"/>
      <c r="J23" s="907"/>
      <c r="K23" s="909"/>
      <c r="L23" s="910"/>
      <c r="M23" s="911"/>
    </row>
    <row r="24" spans="1:13" ht="24.75" customHeight="1" x14ac:dyDescent="0.2">
      <c r="A24" s="901"/>
      <c r="B24" s="902" t="s">
        <v>994</v>
      </c>
      <c r="C24" s="912" t="s">
        <v>995</v>
      </c>
      <c r="D24" s="904"/>
      <c r="E24" s="902"/>
      <c r="F24" s="905"/>
      <c r="G24" s="906"/>
      <c r="H24" s="907"/>
      <c r="I24" s="908"/>
      <c r="J24" s="907"/>
      <c r="K24" s="909"/>
      <c r="L24" s="910"/>
      <c r="M24" s="911"/>
    </row>
    <row r="25" spans="1:13" x14ac:dyDescent="0.2">
      <c r="A25" s="901"/>
      <c r="B25" s="902" t="s">
        <v>996</v>
      </c>
      <c r="C25" s="903" t="s">
        <v>997</v>
      </c>
      <c r="D25" s="904"/>
      <c r="E25" s="902"/>
      <c r="F25" s="905"/>
      <c r="G25" s="906"/>
      <c r="H25" s="907"/>
      <c r="I25" s="908"/>
      <c r="J25" s="907"/>
      <c r="K25" s="909"/>
      <c r="L25" s="910"/>
      <c r="M25" s="911"/>
    </row>
    <row r="26" spans="1:13" ht="15" x14ac:dyDescent="0.25">
      <c r="A26" s="901"/>
      <c r="B26" s="913" t="s">
        <v>998</v>
      </c>
      <c r="C26" s="913"/>
      <c r="D26" s="913"/>
      <c r="E26" s="913"/>
      <c r="F26" s="913"/>
      <c r="G26" s="436">
        <f>+SUM(G14:G25)</f>
        <v>0</v>
      </c>
      <c r="H26" s="907"/>
      <c r="I26" s="914">
        <f>ROUND(SUM(I14:I25),0)</f>
        <v>0</v>
      </c>
      <c r="J26" s="907"/>
      <c r="K26" s="896">
        <f>ROUND(SUM(K14:K25),0)</f>
        <v>0</v>
      </c>
      <c r="L26" s="910"/>
      <c r="M26" s="896">
        <f>ROUND(SUM(M14:M25),0)</f>
        <v>0</v>
      </c>
    </row>
    <row r="27" spans="1:13" s="925" customFormat="1" ht="15" x14ac:dyDescent="0.25">
      <c r="A27" s="915"/>
      <c r="B27" s="916" t="s">
        <v>999</v>
      </c>
      <c r="C27" s="917" t="s">
        <v>1000</v>
      </c>
      <c r="D27" s="918"/>
      <c r="E27" s="918"/>
      <c r="F27" s="919"/>
      <c r="G27" s="920"/>
      <c r="H27" s="921"/>
      <c r="I27" s="922"/>
      <c r="J27" s="921"/>
      <c r="K27" s="923"/>
      <c r="L27" s="898"/>
      <c r="M27" s="924"/>
    </row>
    <row r="28" spans="1:13" s="885" customFormat="1" ht="24.75" customHeight="1" x14ac:dyDescent="0.2">
      <c r="A28" s="926"/>
      <c r="B28" s="927" t="s">
        <v>1001</v>
      </c>
      <c r="C28" s="928" t="s">
        <v>975</v>
      </c>
      <c r="D28" s="929"/>
      <c r="E28" s="930"/>
      <c r="F28" s="931"/>
      <c r="G28" s="932"/>
      <c r="H28" s="933"/>
      <c r="I28" s="934"/>
      <c r="J28" s="933"/>
      <c r="K28" s="935"/>
      <c r="L28" s="910"/>
      <c r="M28" s="936"/>
    </row>
    <row r="29" spans="1:13" s="885" customFormat="1" x14ac:dyDescent="0.2">
      <c r="A29" s="926"/>
      <c r="B29" s="927" t="s">
        <v>1002</v>
      </c>
      <c r="C29" s="937" t="s">
        <v>977</v>
      </c>
      <c r="D29" s="930"/>
      <c r="E29" s="930"/>
      <c r="F29" s="931"/>
      <c r="G29" s="932"/>
      <c r="H29" s="933"/>
      <c r="I29" s="934"/>
      <c r="J29" s="933"/>
      <c r="K29" s="935"/>
      <c r="L29" s="910"/>
      <c r="M29" s="936"/>
    </row>
    <row r="30" spans="1:13" s="885" customFormat="1" ht="28.5" x14ac:dyDescent="0.2">
      <c r="A30" s="926"/>
      <c r="B30" s="929" t="s">
        <v>1003</v>
      </c>
      <c r="C30" s="928" t="s">
        <v>979</v>
      </c>
      <c r="D30" s="929"/>
      <c r="E30" s="930"/>
      <c r="F30" s="931"/>
      <c r="G30" s="932"/>
      <c r="H30" s="933"/>
      <c r="I30" s="934"/>
      <c r="J30" s="933"/>
      <c r="K30" s="935"/>
      <c r="L30" s="910"/>
      <c r="M30" s="936"/>
    </row>
    <row r="31" spans="1:13" s="885" customFormat="1" ht="24.75" customHeight="1" x14ac:dyDescent="0.2">
      <c r="A31" s="926"/>
      <c r="B31" s="929" t="s">
        <v>1004</v>
      </c>
      <c r="C31" s="928" t="s">
        <v>981</v>
      </c>
      <c r="D31" s="929"/>
      <c r="E31" s="930"/>
      <c r="F31" s="931"/>
      <c r="G31" s="932"/>
      <c r="H31" s="933"/>
      <c r="I31" s="934"/>
      <c r="J31" s="933"/>
      <c r="K31" s="935"/>
      <c r="L31" s="910"/>
      <c r="M31" s="936"/>
    </row>
    <row r="32" spans="1:13" s="885" customFormat="1" x14ac:dyDescent="0.2">
      <c r="A32" s="926"/>
      <c r="B32" s="929" t="s">
        <v>1005</v>
      </c>
      <c r="C32" s="937" t="s">
        <v>983</v>
      </c>
      <c r="D32" s="929"/>
      <c r="E32" s="930"/>
      <c r="F32" s="931"/>
      <c r="G32" s="932"/>
      <c r="H32" s="933"/>
      <c r="I32" s="934"/>
      <c r="J32" s="933"/>
      <c r="K32" s="935"/>
      <c r="L32" s="910"/>
      <c r="M32" s="936"/>
    </row>
    <row r="33" spans="1:13" s="885" customFormat="1" ht="23.25" customHeight="1" x14ac:dyDescent="0.2">
      <c r="A33" s="926"/>
      <c r="B33" s="929" t="s">
        <v>1006</v>
      </c>
      <c r="C33" s="928" t="s">
        <v>985</v>
      </c>
      <c r="D33" s="929"/>
      <c r="E33" s="930"/>
      <c r="F33" s="931"/>
      <c r="G33" s="932"/>
      <c r="H33" s="933"/>
      <c r="I33" s="934"/>
      <c r="J33" s="933"/>
      <c r="K33" s="935"/>
      <c r="L33" s="910"/>
      <c r="M33" s="936"/>
    </row>
    <row r="34" spans="1:13" s="885" customFormat="1" ht="28.5" x14ac:dyDescent="0.2">
      <c r="A34" s="926"/>
      <c r="B34" s="929" t="s">
        <v>1007</v>
      </c>
      <c r="C34" s="928" t="s">
        <v>1008</v>
      </c>
      <c r="D34" s="929"/>
      <c r="E34" s="930"/>
      <c r="F34" s="931"/>
      <c r="G34" s="932"/>
      <c r="H34" s="933"/>
      <c r="I34" s="934"/>
      <c r="J34" s="933"/>
      <c r="K34" s="935"/>
      <c r="L34" s="910"/>
      <c r="M34" s="936"/>
    </row>
    <row r="35" spans="1:13" s="885" customFormat="1" ht="42.75" x14ac:dyDescent="0.2">
      <c r="A35" s="926"/>
      <c r="B35" s="929" t="s">
        <v>1009</v>
      </c>
      <c r="C35" s="928" t="s">
        <v>1010</v>
      </c>
      <c r="D35" s="929"/>
      <c r="E35" s="930"/>
      <c r="F35" s="931"/>
      <c r="G35" s="932"/>
      <c r="H35" s="933"/>
      <c r="I35" s="934"/>
      <c r="J35" s="933"/>
      <c r="K35" s="935"/>
      <c r="L35" s="910"/>
      <c r="M35" s="936"/>
    </row>
    <row r="36" spans="1:13" s="885" customFormat="1" x14ac:dyDescent="0.2">
      <c r="A36" s="926"/>
      <c r="B36" s="929" t="s">
        <v>1011</v>
      </c>
      <c r="C36" s="937" t="s">
        <v>991</v>
      </c>
      <c r="D36" s="929"/>
      <c r="E36" s="930"/>
      <c r="F36" s="931"/>
      <c r="G36" s="932"/>
      <c r="H36" s="933"/>
      <c r="I36" s="934"/>
      <c r="J36" s="933"/>
      <c r="K36" s="935"/>
      <c r="L36" s="910"/>
      <c r="M36" s="936"/>
    </row>
    <row r="37" spans="1:13" s="885" customFormat="1" x14ac:dyDescent="0.2">
      <c r="A37" s="926"/>
      <c r="B37" s="929" t="s">
        <v>1012</v>
      </c>
      <c r="C37" s="937" t="s">
        <v>993</v>
      </c>
      <c r="D37" s="929"/>
      <c r="E37" s="930"/>
      <c r="F37" s="931"/>
      <c r="G37" s="932"/>
      <c r="H37" s="933"/>
      <c r="I37" s="934"/>
      <c r="J37" s="933"/>
      <c r="K37" s="935"/>
      <c r="L37" s="910"/>
      <c r="M37" s="936"/>
    </row>
    <row r="38" spans="1:13" s="885" customFormat="1" ht="29.25" customHeight="1" x14ac:dyDescent="0.2">
      <c r="A38" s="926"/>
      <c r="B38" s="929" t="s">
        <v>1013</v>
      </c>
      <c r="C38" s="928" t="s">
        <v>995</v>
      </c>
      <c r="D38" s="929"/>
      <c r="E38" s="930"/>
      <c r="F38" s="931"/>
      <c r="G38" s="932"/>
      <c r="H38" s="933"/>
      <c r="I38" s="934"/>
      <c r="J38" s="933"/>
      <c r="K38" s="935"/>
      <c r="L38" s="910"/>
      <c r="M38" s="936"/>
    </row>
    <row r="39" spans="1:13" s="885" customFormat="1" x14ac:dyDescent="0.2">
      <c r="A39" s="926"/>
      <c r="B39" s="929" t="s">
        <v>1014</v>
      </c>
      <c r="C39" s="937" t="s">
        <v>997</v>
      </c>
      <c r="D39" s="929"/>
      <c r="E39" s="930"/>
      <c r="F39" s="931"/>
      <c r="G39" s="932"/>
      <c r="H39" s="933"/>
      <c r="I39" s="934"/>
      <c r="J39" s="933"/>
      <c r="K39" s="935"/>
      <c r="L39" s="910"/>
      <c r="M39" s="936"/>
    </row>
    <row r="40" spans="1:13" s="885" customFormat="1" ht="15" x14ac:dyDescent="0.25">
      <c r="A40" s="926"/>
      <c r="B40" s="938" t="s">
        <v>998</v>
      </c>
      <c r="C40" s="938"/>
      <c r="D40" s="938"/>
      <c r="E40" s="938"/>
      <c r="F40" s="938"/>
      <c r="G40" s="939">
        <f>+SUM(G28:G39)</f>
        <v>0</v>
      </c>
      <c r="H40" s="933"/>
      <c r="I40" s="940">
        <f>ROUND(SUM(I28:I39),0)</f>
        <v>0</v>
      </c>
      <c r="J40" s="933"/>
      <c r="K40" s="922">
        <f>ROUND(SUM(K28:K39),0)</f>
        <v>0</v>
      </c>
      <c r="L40" s="941"/>
      <c r="M40" s="922">
        <f>ROUND(SUM(M28:M39),0)</f>
        <v>0</v>
      </c>
    </row>
    <row r="41" spans="1:13" s="925" customFormat="1" ht="15" x14ac:dyDescent="0.25">
      <c r="A41" s="915"/>
      <c r="B41" s="916" t="s">
        <v>1015</v>
      </c>
      <c r="C41" s="917" t="s">
        <v>1016</v>
      </c>
      <c r="D41" s="918"/>
      <c r="E41" s="918"/>
      <c r="F41" s="919"/>
      <c r="G41" s="920"/>
      <c r="H41" s="921"/>
      <c r="I41" s="922"/>
      <c r="J41" s="921"/>
      <c r="K41" s="923"/>
      <c r="L41" s="898"/>
      <c r="M41" s="924"/>
    </row>
    <row r="42" spans="1:13" s="885" customFormat="1" ht="23.25" customHeight="1" x14ac:dyDescent="0.2">
      <c r="A42" s="926"/>
      <c r="B42" s="929" t="s">
        <v>1017</v>
      </c>
      <c r="C42" s="928" t="s">
        <v>975</v>
      </c>
      <c r="D42" s="929"/>
      <c r="E42" s="930"/>
      <c r="F42" s="931"/>
      <c r="G42" s="932"/>
      <c r="H42" s="930"/>
      <c r="I42" s="934"/>
      <c r="J42" s="930"/>
      <c r="K42" s="935"/>
      <c r="L42" s="910"/>
      <c r="M42" s="936"/>
    </row>
    <row r="43" spans="1:13" s="885" customFormat="1" x14ac:dyDescent="0.2">
      <c r="A43" s="926"/>
      <c r="B43" s="929" t="s">
        <v>1018</v>
      </c>
      <c r="C43" s="937" t="s">
        <v>977</v>
      </c>
      <c r="D43" s="929"/>
      <c r="E43" s="930"/>
      <c r="F43" s="931"/>
      <c r="G43" s="932"/>
      <c r="H43" s="930"/>
      <c r="I43" s="934"/>
      <c r="J43" s="930"/>
      <c r="K43" s="935"/>
      <c r="L43" s="910"/>
      <c r="M43" s="936"/>
    </row>
    <row r="44" spans="1:13" s="885" customFormat="1" ht="28.5" x14ac:dyDescent="0.2">
      <c r="A44" s="926"/>
      <c r="B44" s="929" t="s">
        <v>1019</v>
      </c>
      <c r="C44" s="928" t="s">
        <v>979</v>
      </c>
      <c r="D44" s="929"/>
      <c r="E44" s="930"/>
      <c r="F44" s="931"/>
      <c r="G44" s="932"/>
      <c r="H44" s="930"/>
      <c r="I44" s="934"/>
      <c r="J44" s="930"/>
      <c r="K44" s="935"/>
      <c r="L44" s="910"/>
      <c r="M44" s="936"/>
    </row>
    <row r="45" spans="1:13" s="885" customFormat="1" ht="30" customHeight="1" x14ac:dyDescent="0.2">
      <c r="A45" s="926"/>
      <c r="B45" s="929" t="s">
        <v>1020</v>
      </c>
      <c r="C45" s="928" t="s">
        <v>981</v>
      </c>
      <c r="D45" s="929"/>
      <c r="E45" s="930"/>
      <c r="F45" s="931"/>
      <c r="G45" s="932"/>
      <c r="H45" s="930"/>
      <c r="I45" s="934"/>
      <c r="J45" s="930"/>
      <c r="K45" s="935"/>
      <c r="L45" s="910"/>
      <c r="M45" s="936"/>
    </row>
    <row r="46" spans="1:13" s="885" customFormat="1" x14ac:dyDescent="0.2">
      <c r="A46" s="926"/>
      <c r="B46" s="929" t="s">
        <v>1021</v>
      </c>
      <c r="C46" s="937" t="s">
        <v>983</v>
      </c>
      <c r="D46" s="929"/>
      <c r="E46" s="930"/>
      <c r="F46" s="931"/>
      <c r="G46" s="932"/>
      <c r="H46" s="930"/>
      <c r="I46" s="934"/>
      <c r="J46" s="930"/>
      <c r="K46" s="935"/>
      <c r="L46" s="910"/>
      <c r="M46" s="936"/>
    </row>
    <row r="47" spans="1:13" s="885" customFormat="1" ht="30" customHeight="1" x14ac:dyDescent="0.2">
      <c r="A47" s="926"/>
      <c r="B47" s="929" t="s">
        <v>1022</v>
      </c>
      <c r="C47" s="928" t="s">
        <v>985</v>
      </c>
      <c r="D47" s="929"/>
      <c r="E47" s="930"/>
      <c r="F47" s="931"/>
      <c r="G47" s="932"/>
      <c r="H47" s="930"/>
      <c r="I47" s="934"/>
      <c r="J47" s="930"/>
      <c r="K47" s="935"/>
      <c r="L47" s="910"/>
      <c r="M47" s="936"/>
    </row>
    <row r="48" spans="1:13" s="885" customFormat="1" ht="28.5" x14ac:dyDescent="0.2">
      <c r="A48" s="926"/>
      <c r="B48" s="929" t="s">
        <v>1023</v>
      </c>
      <c r="C48" s="928" t="s">
        <v>1008</v>
      </c>
      <c r="D48" s="929"/>
      <c r="E48" s="930"/>
      <c r="F48" s="931"/>
      <c r="G48" s="932"/>
      <c r="H48" s="930"/>
      <c r="I48" s="934"/>
      <c r="J48" s="930"/>
      <c r="K48" s="935"/>
      <c r="L48" s="910"/>
      <c r="M48" s="936"/>
    </row>
    <row r="49" spans="1:13" s="885" customFormat="1" ht="42.75" x14ac:dyDescent="0.2">
      <c r="A49" s="926"/>
      <c r="B49" s="929" t="s">
        <v>1024</v>
      </c>
      <c r="C49" s="928" t="s">
        <v>1010</v>
      </c>
      <c r="D49" s="929"/>
      <c r="E49" s="930"/>
      <c r="F49" s="931"/>
      <c r="G49" s="932"/>
      <c r="H49" s="930"/>
      <c r="I49" s="934"/>
      <c r="J49" s="930"/>
      <c r="K49" s="935"/>
      <c r="L49" s="910"/>
      <c r="M49" s="936"/>
    </row>
    <row r="50" spans="1:13" s="885" customFormat="1" x14ac:dyDescent="0.2">
      <c r="A50" s="926"/>
      <c r="B50" s="929" t="s">
        <v>1025</v>
      </c>
      <c r="C50" s="937" t="s">
        <v>991</v>
      </c>
      <c r="D50" s="929"/>
      <c r="E50" s="930"/>
      <c r="F50" s="931"/>
      <c r="G50" s="932"/>
      <c r="H50" s="930"/>
      <c r="I50" s="934"/>
      <c r="J50" s="930"/>
      <c r="K50" s="935"/>
      <c r="L50" s="910"/>
      <c r="M50" s="936"/>
    </row>
    <row r="51" spans="1:13" s="885" customFormat="1" x14ac:dyDescent="0.2">
      <c r="A51" s="926"/>
      <c r="B51" s="929" t="s">
        <v>1026</v>
      </c>
      <c r="C51" s="937" t="s">
        <v>993</v>
      </c>
      <c r="D51" s="929"/>
      <c r="E51" s="930"/>
      <c r="F51" s="931"/>
      <c r="G51" s="932"/>
      <c r="H51" s="930"/>
      <c r="I51" s="934"/>
      <c r="J51" s="930"/>
      <c r="K51" s="935"/>
      <c r="L51" s="910"/>
      <c r="M51" s="936"/>
    </row>
    <row r="52" spans="1:13" s="885" customFormat="1" ht="24.75" customHeight="1" x14ac:dyDescent="0.2">
      <c r="A52" s="926"/>
      <c r="B52" s="929" t="s">
        <v>1027</v>
      </c>
      <c r="C52" s="928" t="s">
        <v>995</v>
      </c>
      <c r="D52" s="929"/>
      <c r="E52" s="930"/>
      <c r="F52" s="931"/>
      <c r="G52" s="932"/>
      <c r="H52" s="930"/>
      <c r="I52" s="934"/>
      <c r="J52" s="930"/>
      <c r="K52" s="935"/>
      <c r="L52" s="910"/>
      <c r="M52" s="936"/>
    </row>
    <row r="53" spans="1:13" s="885" customFormat="1" x14ac:dyDescent="0.2">
      <c r="A53" s="942"/>
      <c r="B53" s="929" t="s">
        <v>1028</v>
      </c>
      <c r="C53" s="937" t="s">
        <v>997</v>
      </c>
      <c r="D53" s="929"/>
      <c r="E53" s="930"/>
      <c r="F53" s="931"/>
      <c r="G53" s="932"/>
      <c r="H53" s="930"/>
      <c r="I53" s="934"/>
      <c r="J53" s="930"/>
      <c r="K53" s="935"/>
      <c r="L53" s="910"/>
      <c r="M53" s="936"/>
    </row>
    <row r="54" spans="1:13" s="885" customFormat="1" ht="15" x14ac:dyDescent="0.25">
      <c r="A54" s="926"/>
      <c r="B54" s="938" t="s">
        <v>998</v>
      </c>
      <c r="C54" s="938"/>
      <c r="D54" s="938"/>
      <c r="E54" s="938"/>
      <c r="F54" s="938"/>
      <c r="G54" s="939">
        <f>+SUM(G42:G53)</f>
        <v>0</v>
      </c>
      <c r="H54" s="933"/>
      <c r="I54" s="940">
        <f>ROUND(SUM(I42:I53),0)</f>
        <v>0</v>
      </c>
      <c r="J54" s="933"/>
      <c r="K54" s="922">
        <f>ROUND(SUM(K42:K53),0)</f>
        <v>0</v>
      </c>
      <c r="L54" s="941"/>
      <c r="M54" s="940">
        <f>ROUND(SUM(M42:M53),0)</f>
        <v>0</v>
      </c>
    </row>
    <row r="55" spans="1:13" s="944" customFormat="1" ht="15" x14ac:dyDescent="0.25">
      <c r="A55" s="915"/>
      <c r="B55" s="916" t="s">
        <v>1029</v>
      </c>
      <c r="C55" s="917" t="s">
        <v>1030</v>
      </c>
      <c r="D55" s="918"/>
      <c r="E55" s="918"/>
      <c r="F55" s="919"/>
      <c r="G55" s="920"/>
      <c r="H55" s="921"/>
      <c r="I55" s="922"/>
      <c r="J55" s="921"/>
      <c r="K55" s="923"/>
      <c r="L55" s="943"/>
      <c r="M55" s="924"/>
    </row>
    <row r="56" spans="1:13" s="945" customFormat="1" x14ac:dyDescent="0.2">
      <c r="A56" s="926"/>
      <c r="B56" s="929" t="s">
        <v>1031</v>
      </c>
      <c r="C56" s="937" t="s">
        <v>651</v>
      </c>
      <c r="D56" s="929"/>
      <c r="E56" s="930"/>
      <c r="F56" s="931"/>
      <c r="G56" s="932"/>
      <c r="H56" s="933"/>
      <c r="I56" s="934"/>
      <c r="J56" s="933"/>
      <c r="K56" s="935"/>
      <c r="L56" s="910"/>
      <c r="M56" s="936"/>
    </row>
    <row r="57" spans="1:13" s="945" customFormat="1" ht="27.75" customHeight="1" x14ac:dyDescent="0.2">
      <c r="A57" s="926"/>
      <c r="B57" s="929" t="s">
        <v>1032</v>
      </c>
      <c r="C57" s="928" t="s">
        <v>975</v>
      </c>
      <c r="D57" s="929"/>
      <c r="E57" s="930"/>
      <c r="F57" s="931"/>
      <c r="G57" s="932"/>
      <c r="H57" s="933"/>
      <c r="I57" s="934"/>
      <c r="J57" s="933"/>
      <c r="K57" s="935"/>
      <c r="L57" s="910"/>
      <c r="M57" s="936"/>
    </row>
    <row r="58" spans="1:13" s="945" customFormat="1" x14ac:dyDescent="0.2">
      <c r="A58" s="926"/>
      <c r="B58" s="929" t="s">
        <v>1033</v>
      </c>
      <c r="C58" s="937" t="s">
        <v>1034</v>
      </c>
      <c r="D58" s="929"/>
      <c r="E58" s="930"/>
      <c r="F58" s="931"/>
      <c r="G58" s="932"/>
      <c r="H58" s="933"/>
      <c r="I58" s="934"/>
      <c r="J58" s="933"/>
      <c r="K58" s="935"/>
      <c r="L58" s="910"/>
      <c r="M58" s="936"/>
    </row>
    <row r="59" spans="1:13" s="885" customFormat="1" ht="15" x14ac:dyDescent="0.2">
      <c r="A59" s="926"/>
      <c r="B59" s="938" t="s">
        <v>998</v>
      </c>
      <c r="C59" s="938"/>
      <c r="D59" s="938"/>
      <c r="E59" s="938"/>
      <c r="F59" s="938"/>
      <c r="G59" s="939">
        <f>+SUM(G56:G58)</f>
        <v>0</v>
      </c>
      <c r="H59" s="933"/>
      <c r="I59" s="939">
        <f>ROUND(SUM(I56:I58),0)</f>
        <v>0</v>
      </c>
      <c r="J59" s="933"/>
      <c r="K59" s="946">
        <f>ROUND(SUM(K56:K58),0)</f>
        <v>0</v>
      </c>
      <c r="L59" s="941"/>
      <c r="M59" s="939">
        <f>ROUND(SUM(M56:M58),0)</f>
        <v>0</v>
      </c>
    </row>
    <row r="60" spans="1:13" s="925" customFormat="1" ht="15" x14ac:dyDescent="0.25">
      <c r="A60" s="915"/>
      <c r="B60" s="916" t="s">
        <v>1035</v>
      </c>
      <c r="C60" s="917" t="s">
        <v>1036</v>
      </c>
      <c r="D60" s="918"/>
      <c r="E60" s="918"/>
      <c r="F60" s="919"/>
      <c r="G60" s="920"/>
      <c r="H60" s="921"/>
      <c r="I60" s="922"/>
      <c r="J60" s="921"/>
      <c r="K60" s="923"/>
      <c r="L60" s="898"/>
      <c r="M60" s="924"/>
    </row>
    <row r="61" spans="1:13" s="885" customFormat="1" x14ac:dyDescent="0.2">
      <c r="A61" s="926"/>
      <c r="B61" s="929" t="s">
        <v>1037</v>
      </c>
      <c r="C61" s="937" t="s">
        <v>1038</v>
      </c>
      <c r="D61" s="929"/>
      <c r="E61" s="930"/>
      <c r="F61" s="931"/>
      <c r="G61" s="932"/>
      <c r="H61" s="933"/>
      <c r="I61" s="934"/>
      <c r="J61" s="933"/>
      <c r="K61" s="935"/>
      <c r="L61" s="910"/>
      <c r="M61" s="936"/>
    </row>
    <row r="62" spans="1:13" s="885" customFormat="1" x14ac:dyDescent="0.2">
      <c r="A62" s="926"/>
      <c r="B62" s="929" t="s">
        <v>1039</v>
      </c>
      <c r="C62" s="937" t="s">
        <v>1040</v>
      </c>
      <c r="D62" s="929"/>
      <c r="E62" s="930"/>
      <c r="F62" s="931"/>
      <c r="G62" s="932"/>
      <c r="H62" s="933"/>
      <c r="I62" s="934"/>
      <c r="J62" s="933"/>
      <c r="K62" s="935"/>
      <c r="L62" s="910"/>
      <c r="M62" s="936"/>
    </row>
    <row r="63" spans="1:13" s="885" customFormat="1" x14ac:dyDescent="0.2">
      <c r="B63" s="929" t="s">
        <v>1041</v>
      </c>
      <c r="C63" s="937" t="s">
        <v>1042</v>
      </c>
      <c r="D63" s="929"/>
      <c r="E63" s="930"/>
      <c r="F63" s="931"/>
      <c r="G63" s="932"/>
      <c r="H63" s="933"/>
      <c r="I63" s="934"/>
      <c r="J63" s="933"/>
      <c r="K63" s="935"/>
      <c r="L63" s="910"/>
      <c r="M63" s="936"/>
    </row>
    <row r="64" spans="1:13" s="885" customFormat="1" x14ac:dyDescent="0.2">
      <c r="A64" s="926"/>
      <c r="B64" s="929" t="s">
        <v>1043</v>
      </c>
      <c r="C64" s="937" t="s">
        <v>1044</v>
      </c>
      <c r="D64" s="929"/>
      <c r="E64" s="930"/>
      <c r="F64" s="931"/>
      <c r="G64" s="932"/>
      <c r="H64" s="933"/>
      <c r="I64" s="934"/>
      <c r="J64" s="933"/>
      <c r="K64" s="935"/>
      <c r="L64" s="910"/>
      <c r="M64" s="936"/>
    </row>
    <row r="65" spans="1:674" s="948" customFormat="1" ht="14.1" customHeight="1" x14ac:dyDescent="0.2">
      <c r="A65" s="947"/>
      <c r="B65" s="902" t="s">
        <v>1045</v>
      </c>
      <c r="C65" s="903" t="s">
        <v>1046</v>
      </c>
      <c r="D65" s="902"/>
      <c r="E65" s="904"/>
      <c r="F65" s="905"/>
      <c r="G65" s="906"/>
      <c r="H65" s="907"/>
      <c r="I65" s="908"/>
      <c r="J65" s="907"/>
      <c r="K65" s="909"/>
      <c r="L65" s="910"/>
      <c r="M65" s="911"/>
      <c r="N65" s="873"/>
      <c r="O65" s="873"/>
      <c r="P65" s="873"/>
      <c r="Q65" s="873"/>
      <c r="R65" s="873"/>
      <c r="S65" s="873"/>
      <c r="T65" s="873"/>
      <c r="U65" s="873"/>
      <c r="V65" s="873"/>
      <c r="W65" s="873"/>
      <c r="X65" s="873"/>
      <c r="Y65" s="873"/>
      <c r="Z65" s="873"/>
      <c r="AA65" s="873"/>
      <c r="AB65" s="873"/>
      <c r="AC65" s="873"/>
      <c r="AD65" s="873"/>
      <c r="AE65" s="873"/>
      <c r="AF65" s="873"/>
      <c r="AG65" s="873"/>
      <c r="AH65" s="873"/>
      <c r="AI65" s="873"/>
      <c r="AJ65" s="873"/>
      <c r="AK65" s="873"/>
      <c r="AL65" s="873"/>
      <c r="AM65" s="873"/>
      <c r="AN65" s="873"/>
      <c r="AO65" s="873"/>
      <c r="AP65" s="873"/>
      <c r="AQ65" s="873"/>
      <c r="AR65" s="873"/>
      <c r="AS65" s="873"/>
      <c r="AT65" s="873"/>
      <c r="AU65" s="873"/>
      <c r="AV65" s="873"/>
      <c r="AW65" s="873"/>
      <c r="AX65" s="873"/>
      <c r="AY65" s="873"/>
      <c r="AZ65" s="873"/>
      <c r="BA65" s="873"/>
      <c r="BB65" s="873"/>
      <c r="BC65" s="873"/>
      <c r="BD65" s="873"/>
      <c r="BE65" s="873"/>
      <c r="BF65" s="873"/>
      <c r="BG65" s="873"/>
      <c r="BH65" s="873"/>
      <c r="BI65" s="873"/>
      <c r="BJ65" s="873"/>
      <c r="BK65" s="873"/>
      <c r="BL65" s="873"/>
      <c r="BM65" s="873"/>
      <c r="BN65" s="873"/>
      <c r="BO65" s="873"/>
      <c r="BP65" s="873"/>
      <c r="BQ65" s="873"/>
      <c r="BR65" s="873"/>
      <c r="BS65" s="873"/>
      <c r="BT65" s="873"/>
      <c r="BU65" s="873"/>
      <c r="BV65" s="873"/>
      <c r="BW65" s="873"/>
      <c r="BX65" s="873"/>
      <c r="BY65" s="873"/>
      <c r="BZ65" s="873"/>
      <c r="CA65" s="873"/>
      <c r="CB65" s="873"/>
      <c r="CC65" s="873"/>
      <c r="CD65" s="873"/>
      <c r="CE65" s="873"/>
      <c r="CF65" s="873"/>
      <c r="CG65" s="873"/>
      <c r="CH65" s="873"/>
      <c r="CI65" s="873"/>
      <c r="CJ65" s="873"/>
      <c r="CK65" s="873"/>
      <c r="CL65" s="873"/>
      <c r="CM65" s="873"/>
      <c r="CN65" s="873"/>
      <c r="CO65" s="873"/>
      <c r="CP65" s="873"/>
      <c r="CQ65" s="873"/>
      <c r="CR65" s="873"/>
      <c r="CS65" s="873"/>
      <c r="CT65" s="873"/>
      <c r="CU65" s="873"/>
      <c r="CV65" s="873"/>
      <c r="CW65" s="873"/>
      <c r="CX65" s="873"/>
      <c r="CY65" s="873"/>
      <c r="CZ65" s="873"/>
      <c r="DA65" s="873"/>
      <c r="DB65" s="873"/>
      <c r="DC65" s="873"/>
      <c r="DD65" s="873"/>
      <c r="DE65" s="873"/>
      <c r="DF65" s="873"/>
      <c r="DG65" s="873"/>
      <c r="DH65" s="873"/>
      <c r="DI65" s="873"/>
      <c r="DJ65" s="873"/>
      <c r="DK65" s="873"/>
      <c r="DL65" s="873"/>
      <c r="DM65" s="873"/>
      <c r="DN65" s="873"/>
      <c r="DO65" s="873"/>
      <c r="DP65" s="873"/>
      <c r="DQ65" s="873"/>
      <c r="DR65" s="873"/>
      <c r="DS65" s="873"/>
      <c r="DT65" s="873"/>
      <c r="DU65" s="873"/>
      <c r="DV65" s="873"/>
      <c r="DW65" s="873"/>
      <c r="DX65" s="873"/>
      <c r="DY65" s="873"/>
      <c r="DZ65" s="873"/>
      <c r="EA65" s="873"/>
      <c r="EB65" s="873"/>
      <c r="EC65" s="873"/>
      <c r="ED65" s="873"/>
      <c r="EE65" s="873"/>
      <c r="EF65" s="873"/>
      <c r="EG65" s="873"/>
      <c r="EH65" s="873"/>
      <c r="EI65" s="873"/>
      <c r="EJ65" s="873"/>
      <c r="EK65" s="873"/>
      <c r="EL65" s="873"/>
      <c r="EM65" s="873"/>
      <c r="EN65" s="873"/>
      <c r="EO65" s="873"/>
      <c r="EP65" s="873"/>
      <c r="EQ65" s="873"/>
      <c r="ER65" s="873"/>
      <c r="ES65" s="873"/>
      <c r="ET65" s="873"/>
      <c r="EU65" s="873"/>
      <c r="EV65" s="873"/>
      <c r="EW65" s="873"/>
      <c r="EX65" s="873"/>
      <c r="EY65" s="873"/>
      <c r="EZ65" s="873"/>
      <c r="FA65" s="873"/>
      <c r="FB65" s="873"/>
      <c r="FC65" s="873"/>
      <c r="FD65" s="873"/>
      <c r="FE65" s="873"/>
      <c r="FF65" s="873"/>
      <c r="FG65" s="873"/>
      <c r="FH65" s="873"/>
      <c r="FI65" s="873"/>
      <c r="FJ65" s="873"/>
      <c r="FK65" s="873"/>
      <c r="FL65" s="873"/>
      <c r="FM65" s="873"/>
      <c r="FN65" s="873"/>
      <c r="FO65" s="873"/>
      <c r="FP65" s="873"/>
      <c r="FQ65" s="873"/>
      <c r="FR65" s="873"/>
      <c r="FS65" s="873"/>
      <c r="FT65" s="873"/>
      <c r="FU65" s="873"/>
      <c r="FV65" s="873"/>
      <c r="FW65" s="873"/>
      <c r="FX65" s="873"/>
      <c r="FY65" s="873"/>
      <c r="FZ65" s="873"/>
      <c r="GA65" s="873"/>
      <c r="GB65" s="873"/>
      <c r="GC65" s="873"/>
      <c r="GD65" s="873"/>
      <c r="GE65" s="873"/>
      <c r="GF65" s="873"/>
      <c r="GG65" s="873"/>
      <c r="GH65" s="873"/>
      <c r="GI65" s="873"/>
      <c r="GJ65" s="873"/>
      <c r="GK65" s="873"/>
      <c r="GL65" s="873"/>
      <c r="GM65" s="873"/>
      <c r="GN65" s="873"/>
      <c r="GO65" s="873"/>
      <c r="GP65" s="873"/>
      <c r="GQ65" s="873"/>
      <c r="GR65" s="873"/>
      <c r="GS65" s="873"/>
      <c r="GT65" s="873"/>
      <c r="GU65" s="873"/>
      <c r="GV65" s="873"/>
      <c r="GW65" s="873"/>
      <c r="GX65" s="873"/>
      <c r="GY65" s="873"/>
      <c r="GZ65" s="873"/>
      <c r="HA65" s="873"/>
      <c r="HB65" s="873"/>
      <c r="HC65" s="873"/>
      <c r="HD65" s="873"/>
      <c r="HE65" s="873"/>
      <c r="HF65" s="873"/>
      <c r="HG65" s="873"/>
      <c r="HH65" s="873"/>
      <c r="HI65" s="873"/>
      <c r="HJ65" s="873"/>
      <c r="HK65" s="873"/>
      <c r="HL65" s="873"/>
      <c r="HM65" s="873"/>
      <c r="HN65" s="873"/>
      <c r="HO65" s="873"/>
      <c r="HP65" s="873"/>
      <c r="HQ65" s="873"/>
      <c r="HR65" s="873"/>
      <c r="HS65" s="873"/>
      <c r="HT65" s="873"/>
      <c r="HU65" s="873"/>
      <c r="HV65" s="873"/>
      <c r="HW65" s="873"/>
      <c r="HX65" s="873"/>
      <c r="HY65" s="873"/>
      <c r="HZ65" s="873"/>
      <c r="IA65" s="873"/>
      <c r="IB65" s="873"/>
      <c r="IC65" s="873"/>
      <c r="ID65" s="873"/>
      <c r="IE65" s="873"/>
      <c r="IF65" s="873"/>
      <c r="IG65" s="873"/>
      <c r="IH65" s="873"/>
      <c r="II65" s="873"/>
      <c r="IJ65" s="873"/>
      <c r="IK65" s="873"/>
      <c r="IL65" s="873"/>
      <c r="IM65" s="873"/>
      <c r="IN65" s="873"/>
      <c r="IO65" s="873"/>
      <c r="IP65" s="873"/>
      <c r="IQ65" s="873"/>
      <c r="IR65" s="873"/>
      <c r="IS65" s="873"/>
      <c r="IT65" s="873"/>
      <c r="IU65" s="873"/>
      <c r="IV65" s="873"/>
      <c r="IW65" s="873"/>
      <c r="IX65" s="873"/>
      <c r="IY65" s="873"/>
      <c r="IZ65" s="873"/>
      <c r="JA65" s="873"/>
      <c r="JB65" s="873"/>
      <c r="JC65" s="873"/>
      <c r="JD65" s="873"/>
      <c r="JE65" s="873"/>
      <c r="JF65" s="873"/>
      <c r="JG65" s="873"/>
      <c r="JH65" s="873"/>
      <c r="JI65" s="873"/>
      <c r="JJ65" s="873"/>
      <c r="JK65" s="873"/>
      <c r="JL65" s="873"/>
      <c r="JM65" s="873"/>
      <c r="JN65" s="873"/>
      <c r="JO65" s="873"/>
      <c r="JP65" s="873"/>
      <c r="JQ65" s="873"/>
      <c r="JR65" s="873"/>
      <c r="JS65" s="873"/>
      <c r="JT65" s="873"/>
      <c r="JU65" s="873"/>
      <c r="JV65" s="873"/>
      <c r="JW65" s="873"/>
      <c r="JX65" s="873"/>
      <c r="JY65" s="873"/>
      <c r="JZ65" s="873"/>
      <c r="KA65" s="873"/>
      <c r="KB65" s="873"/>
      <c r="KC65" s="873"/>
      <c r="KD65" s="873"/>
      <c r="KE65" s="873"/>
      <c r="KF65" s="873"/>
      <c r="KG65" s="873"/>
      <c r="KH65" s="873"/>
      <c r="KI65" s="873"/>
      <c r="KJ65" s="873"/>
      <c r="KK65" s="873"/>
      <c r="KL65" s="873"/>
      <c r="KM65" s="873"/>
      <c r="KN65" s="873"/>
      <c r="KO65" s="873"/>
      <c r="KP65" s="873"/>
      <c r="KQ65" s="873"/>
      <c r="KR65" s="873"/>
      <c r="KS65" s="873"/>
      <c r="KT65" s="873"/>
      <c r="KU65" s="873"/>
      <c r="KV65" s="873"/>
      <c r="KW65" s="873"/>
      <c r="KX65" s="873"/>
      <c r="KY65" s="873"/>
      <c r="KZ65" s="873"/>
      <c r="LA65" s="873"/>
      <c r="LB65" s="873"/>
      <c r="LC65" s="873"/>
      <c r="LD65" s="873"/>
      <c r="LE65" s="873"/>
      <c r="LF65" s="873"/>
      <c r="LG65" s="873"/>
      <c r="LH65" s="873"/>
      <c r="LI65" s="873"/>
      <c r="LJ65" s="873"/>
      <c r="LK65" s="873"/>
      <c r="LL65" s="873"/>
      <c r="LM65" s="873"/>
      <c r="LN65" s="873"/>
      <c r="LO65" s="873"/>
      <c r="LP65" s="873"/>
      <c r="LQ65" s="873"/>
      <c r="LR65" s="873"/>
      <c r="LS65" s="873"/>
      <c r="LT65" s="873"/>
      <c r="LU65" s="873"/>
      <c r="LV65" s="873"/>
      <c r="LW65" s="873"/>
      <c r="LX65" s="873"/>
      <c r="LY65" s="873"/>
      <c r="LZ65" s="873"/>
      <c r="MA65" s="873"/>
      <c r="MB65" s="873"/>
      <c r="MC65" s="873"/>
      <c r="MD65" s="873"/>
      <c r="ME65" s="873"/>
      <c r="MF65" s="873"/>
      <c r="MG65" s="873"/>
      <c r="MH65" s="873"/>
      <c r="MI65" s="873"/>
      <c r="MJ65" s="873"/>
      <c r="MK65" s="873"/>
      <c r="ML65" s="873"/>
      <c r="MM65" s="873"/>
      <c r="MN65" s="873"/>
      <c r="MO65" s="873"/>
      <c r="MP65" s="873"/>
      <c r="MQ65" s="873"/>
      <c r="MR65" s="873"/>
      <c r="MS65" s="873"/>
      <c r="MT65" s="873"/>
      <c r="MU65" s="873"/>
      <c r="MV65" s="873"/>
      <c r="MW65" s="873"/>
      <c r="MX65" s="873"/>
      <c r="MY65" s="873"/>
      <c r="MZ65" s="873"/>
      <c r="NA65" s="873"/>
      <c r="NB65" s="873"/>
      <c r="NC65" s="873"/>
      <c r="ND65" s="873"/>
      <c r="NE65" s="873"/>
      <c r="NF65" s="873"/>
      <c r="NG65" s="873"/>
      <c r="NH65" s="873"/>
      <c r="NI65" s="873"/>
      <c r="NJ65" s="873"/>
      <c r="NK65" s="873"/>
      <c r="NL65" s="873"/>
      <c r="NM65" s="873"/>
      <c r="NN65" s="873"/>
      <c r="NO65" s="873"/>
      <c r="NP65" s="873"/>
      <c r="NQ65" s="873"/>
      <c r="NR65" s="873"/>
      <c r="NS65" s="873"/>
      <c r="NT65" s="873"/>
      <c r="NU65" s="873"/>
      <c r="NV65" s="873"/>
      <c r="NW65" s="873"/>
      <c r="NX65" s="873"/>
      <c r="NY65" s="873"/>
      <c r="NZ65" s="873"/>
      <c r="OA65" s="873"/>
      <c r="OB65" s="873"/>
      <c r="OC65" s="873"/>
      <c r="OD65" s="873"/>
      <c r="OE65" s="873"/>
      <c r="OF65" s="873"/>
      <c r="OG65" s="873"/>
      <c r="OH65" s="873"/>
      <c r="OI65" s="873"/>
      <c r="OJ65" s="873"/>
      <c r="OK65" s="873"/>
      <c r="OL65" s="873"/>
      <c r="OM65" s="873"/>
      <c r="ON65" s="873"/>
      <c r="OO65" s="873"/>
      <c r="OP65" s="873"/>
      <c r="OQ65" s="873"/>
      <c r="OR65" s="873"/>
      <c r="OS65" s="873"/>
      <c r="OT65" s="873"/>
      <c r="OU65" s="873"/>
      <c r="OV65" s="873"/>
      <c r="OW65" s="873"/>
      <c r="OX65" s="873"/>
      <c r="OY65" s="873"/>
      <c r="OZ65" s="873"/>
      <c r="PA65" s="873"/>
      <c r="PB65" s="873"/>
      <c r="PC65" s="873"/>
      <c r="PD65" s="873"/>
      <c r="PE65" s="873"/>
      <c r="PF65" s="873"/>
      <c r="PG65" s="873"/>
      <c r="PH65" s="873"/>
      <c r="PI65" s="873"/>
      <c r="PJ65" s="873"/>
      <c r="PK65" s="873"/>
      <c r="PL65" s="873"/>
      <c r="PM65" s="873"/>
      <c r="PN65" s="873"/>
      <c r="PO65" s="873"/>
      <c r="PP65" s="873"/>
      <c r="PQ65" s="873"/>
      <c r="PR65" s="873"/>
      <c r="PS65" s="873"/>
      <c r="PT65" s="873"/>
      <c r="PU65" s="873"/>
      <c r="PV65" s="873"/>
      <c r="PW65" s="873"/>
      <c r="PX65" s="873"/>
      <c r="PY65" s="873"/>
      <c r="PZ65" s="873"/>
      <c r="QA65" s="873"/>
      <c r="QB65" s="873"/>
      <c r="QC65" s="873"/>
      <c r="QD65" s="873"/>
      <c r="QE65" s="873"/>
      <c r="QF65" s="873"/>
      <c r="QG65" s="873"/>
      <c r="QH65" s="873"/>
      <c r="QI65" s="873"/>
      <c r="QJ65" s="873"/>
      <c r="QK65" s="873"/>
      <c r="QL65" s="873"/>
      <c r="QM65" s="873"/>
      <c r="QN65" s="873"/>
      <c r="QO65" s="873"/>
      <c r="QP65" s="873"/>
      <c r="QQ65" s="873"/>
      <c r="QR65" s="873"/>
      <c r="QS65" s="873"/>
      <c r="QT65" s="873"/>
      <c r="QU65" s="873"/>
      <c r="QV65" s="873"/>
      <c r="QW65" s="873"/>
      <c r="QX65" s="873"/>
      <c r="QY65" s="873"/>
      <c r="QZ65" s="873"/>
      <c r="RA65" s="873"/>
      <c r="RB65" s="873"/>
      <c r="RC65" s="873"/>
      <c r="RD65" s="873"/>
      <c r="RE65" s="873"/>
      <c r="RF65" s="873"/>
      <c r="RG65" s="873"/>
      <c r="RH65" s="873"/>
      <c r="RI65" s="873"/>
      <c r="RJ65" s="873"/>
      <c r="RK65" s="873"/>
      <c r="RL65" s="873"/>
      <c r="RM65" s="873"/>
      <c r="RN65" s="873"/>
      <c r="RO65" s="873"/>
      <c r="RP65" s="873"/>
      <c r="RQ65" s="873"/>
      <c r="RR65" s="873"/>
      <c r="RS65" s="873"/>
      <c r="RT65" s="873"/>
      <c r="RU65" s="873"/>
      <c r="RV65" s="873"/>
      <c r="RW65" s="873"/>
      <c r="RX65" s="873"/>
      <c r="RY65" s="873"/>
      <c r="RZ65" s="873"/>
      <c r="SA65" s="873"/>
      <c r="SB65" s="873"/>
      <c r="SC65" s="873"/>
      <c r="SD65" s="873"/>
      <c r="SE65" s="873"/>
      <c r="SF65" s="873"/>
      <c r="SG65" s="873"/>
      <c r="SH65" s="873"/>
      <c r="SI65" s="873"/>
      <c r="SJ65" s="873"/>
      <c r="SK65" s="873"/>
      <c r="SL65" s="873"/>
      <c r="SM65" s="873"/>
      <c r="SN65" s="873"/>
      <c r="SO65" s="873"/>
      <c r="SP65" s="873"/>
      <c r="SQ65" s="873"/>
      <c r="SR65" s="873"/>
      <c r="SS65" s="873"/>
      <c r="ST65" s="873"/>
      <c r="SU65" s="873"/>
      <c r="SV65" s="873"/>
      <c r="SW65" s="873"/>
      <c r="SX65" s="873"/>
      <c r="SY65" s="873"/>
      <c r="SZ65" s="873"/>
      <c r="TA65" s="873"/>
      <c r="TB65" s="873"/>
      <c r="TC65" s="873"/>
      <c r="TD65" s="873"/>
      <c r="TE65" s="873"/>
      <c r="TF65" s="873"/>
      <c r="TG65" s="873"/>
      <c r="TH65" s="873"/>
      <c r="TI65" s="873"/>
      <c r="TJ65" s="873"/>
      <c r="TK65" s="873"/>
      <c r="TL65" s="873"/>
      <c r="TM65" s="873"/>
      <c r="TN65" s="873"/>
      <c r="TO65" s="873"/>
      <c r="TP65" s="873"/>
      <c r="TQ65" s="873"/>
      <c r="TR65" s="873"/>
      <c r="TS65" s="873"/>
      <c r="TT65" s="873"/>
      <c r="TU65" s="873"/>
      <c r="TV65" s="873"/>
      <c r="TW65" s="873"/>
      <c r="TX65" s="873"/>
      <c r="TY65" s="873"/>
      <c r="TZ65" s="873"/>
      <c r="UA65" s="873"/>
      <c r="UB65" s="873"/>
      <c r="UC65" s="873"/>
      <c r="UD65" s="873"/>
      <c r="UE65" s="873"/>
      <c r="UF65" s="873"/>
      <c r="UG65" s="873"/>
      <c r="UH65" s="873"/>
      <c r="UI65" s="873"/>
      <c r="UJ65" s="873"/>
      <c r="UK65" s="873"/>
      <c r="UL65" s="873"/>
      <c r="UM65" s="873"/>
      <c r="UN65" s="873"/>
      <c r="UO65" s="873"/>
      <c r="UP65" s="873"/>
      <c r="UQ65" s="873"/>
      <c r="UR65" s="873"/>
      <c r="US65" s="873"/>
      <c r="UT65" s="873"/>
      <c r="UU65" s="873"/>
      <c r="UV65" s="873"/>
      <c r="UW65" s="873"/>
      <c r="UX65" s="873"/>
      <c r="UY65" s="873"/>
      <c r="UZ65" s="873"/>
      <c r="VA65" s="873"/>
      <c r="VB65" s="873"/>
      <c r="VC65" s="873"/>
      <c r="VD65" s="873"/>
      <c r="VE65" s="873"/>
      <c r="VF65" s="873"/>
      <c r="VG65" s="873"/>
      <c r="VH65" s="873"/>
      <c r="VI65" s="873"/>
      <c r="VJ65" s="873"/>
      <c r="VK65" s="873"/>
      <c r="VL65" s="873"/>
      <c r="VM65" s="873"/>
      <c r="VN65" s="873"/>
      <c r="VO65" s="873"/>
      <c r="VP65" s="873"/>
      <c r="VQ65" s="873"/>
      <c r="VR65" s="873"/>
      <c r="VS65" s="873"/>
      <c r="VT65" s="873"/>
      <c r="VU65" s="873"/>
      <c r="VV65" s="873"/>
      <c r="VW65" s="873"/>
      <c r="VX65" s="873"/>
      <c r="VY65" s="873"/>
      <c r="VZ65" s="873"/>
      <c r="WA65" s="873"/>
      <c r="WB65" s="873"/>
      <c r="WC65" s="873"/>
      <c r="WD65" s="873"/>
      <c r="WE65" s="873"/>
      <c r="WF65" s="873"/>
      <c r="WG65" s="873"/>
      <c r="WH65" s="873"/>
      <c r="WI65" s="873"/>
      <c r="WJ65" s="873"/>
      <c r="WK65" s="873"/>
      <c r="WL65" s="873"/>
      <c r="WM65" s="873"/>
      <c r="WN65" s="873"/>
      <c r="WO65" s="873"/>
      <c r="WP65" s="873"/>
      <c r="WQ65" s="873"/>
      <c r="WR65" s="873"/>
      <c r="WS65" s="873"/>
      <c r="WT65" s="873"/>
      <c r="WU65" s="873"/>
      <c r="WV65" s="873"/>
      <c r="WW65" s="873"/>
      <c r="WX65" s="873"/>
      <c r="WY65" s="873"/>
      <c r="WZ65" s="873"/>
      <c r="XA65" s="873"/>
      <c r="XB65" s="873"/>
      <c r="XC65" s="873"/>
      <c r="XD65" s="873"/>
      <c r="XE65" s="873"/>
      <c r="XF65" s="873"/>
      <c r="XG65" s="873"/>
      <c r="XH65" s="873"/>
      <c r="XI65" s="873"/>
      <c r="XJ65" s="873"/>
      <c r="XK65" s="873"/>
      <c r="XL65" s="873"/>
      <c r="XM65" s="873"/>
      <c r="XN65" s="873"/>
      <c r="XO65" s="873"/>
      <c r="XP65" s="873"/>
      <c r="XQ65" s="873"/>
      <c r="XR65" s="873"/>
      <c r="XS65" s="873"/>
      <c r="XT65" s="873"/>
      <c r="XU65" s="873"/>
      <c r="XV65" s="873"/>
      <c r="XW65" s="873"/>
      <c r="XX65" s="873"/>
      <c r="XY65" s="873"/>
      <c r="XZ65" s="873"/>
      <c r="YA65" s="873"/>
      <c r="YB65" s="873"/>
      <c r="YC65" s="873"/>
      <c r="YD65" s="873"/>
      <c r="YE65" s="873"/>
      <c r="YF65" s="873"/>
      <c r="YG65" s="873"/>
      <c r="YH65" s="873"/>
      <c r="YI65" s="873"/>
      <c r="YJ65" s="873"/>
      <c r="YK65" s="873"/>
      <c r="YL65" s="873"/>
      <c r="YM65" s="873"/>
      <c r="YN65" s="873"/>
      <c r="YO65" s="873"/>
      <c r="YP65" s="873"/>
      <c r="YQ65" s="873"/>
      <c r="YR65" s="873"/>
      <c r="YS65" s="873"/>
      <c r="YT65" s="873"/>
      <c r="YU65" s="873"/>
      <c r="YV65" s="873"/>
      <c r="YW65" s="873"/>
      <c r="YX65" s="873"/>
    </row>
    <row r="66" spans="1:674" x14ac:dyDescent="0.2">
      <c r="A66" s="901"/>
      <c r="B66" s="902" t="s">
        <v>1047</v>
      </c>
      <c r="C66" s="903" t="s">
        <v>1048</v>
      </c>
      <c r="D66" s="902"/>
      <c r="E66" s="904"/>
      <c r="F66" s="905"/>
      <c r="G66" s="906"/>
      <c r="H66" s="907"/>
      <c r="I66" s="908"/>
      <c r="J66" s="907"/>
      <c r="K66" s="909"/>
      <c r="L66" s="910"/>
      <c r="M66" s="911"/>
    </row>
    <row r="67" spans="1:674" s="950" customFormat="1" ht="15" x14ac:dyDescent="0.25">
      <c r="A67" s="901"/>
      <c r="B67" s="913" t="s">
        <v>998</v>
      </c>
      <c r="C67" s="913"/>
      <c r="D67" s="913"/>
      <c r="E67" s="913"/>
      <c r="F67" s="913"/>
      <c r="G67" s="436">
        <f>SUM(G61:G66)</f>
        <v>0</v>
      </c>
      <c r="H67" s="907"/>
      <c r="I67" s="914">
        <f>SUM(I61:I66)</f>
        <v>0</v>
      </c>
      <c r="J67" s="907"/>
      <c r="K67" s="914">
        <f>SUM(K61:K66)</f>
        <v>0</v>
      </c>
      <c r="L67" s="949"/>
      <c r="M67" s="914">
        <f>SUM(M61:M66)</f>
        <v>0</v>
      </c>
    </row>
    <row r="68" spans="1:674" s="950" customFormat="1" ht="15" x14ac:dyDescent="0.25">
      <c r="A68" s="901"/>
      <c r="B68" s="951"/>
      <c r="C68" s="952" t="s">
        <v>774</v>
      </c>
      <c r="D68" s="951"/>
      <c r="E68" s="951"/>
      <c r="F68" s="951"/>
      <c r="G68" s="436"/>
      <c r="H68" s="907"/>
      <c r="I68" s="436"/>
      <c r="J68" s="907"/>
      <c r="K68" s="909"/>
      <c r="L68" s="949"/>
      <c r="M68" s="914"/>
    </row>
    <row r="69" spans="1:674" s="950" customFormat="1" x14ac:dyDescent="0.2">
      <c r="A69" s="901"/>
      <c r="B69" s="953" t="s">
        <v>1049</v>
      </c>
      <c r="C69" s="954" t="s">
        <v>1050</v>
      </c>
      <c r="D69" s="902"/>
      <c r="E69" s="955"/>
      <c r="F69" s="953"/>
      <c r="G69" s="906">
        <f t="shared" ref="G69:G71" si="0">F69*D69</f>
        <v>0</v>
      </c>
      <c r="H69" s="953"/>
      <c r="I69" s="906">
        <f>H69*F69</f>
        <v>0</v>
      </c>
      <c r="J69" s="907"/>
      <c r="K69" s="909" t="e">
        <f>J69*#REF!</f>
        <v>#REF!</v>
      </c>
      <c r="L69" s="910"/>
      <c r="M69" s="956"/>
    </row>
    <row r="70" spans="1:674" s="950" customFormat="1" x14ac:dyDescent="0.2">
      <c r="A70" s="901"/>
      <c r="B70" s="953" t="s">
        <v>1051</v>
      </c>
      <c r="C70" s="954" t="s">
        <v>1052</v>
      </c>
      <c r="D70" s="902"/>
      <c r="E70" s="955"/>
      <c r="F70" s="953"/>
      <c r="G70" s="906">
        <f t="shared" si="0"/>
        <v>0</v>
      </c>
      <c r="H70" s="953"/>
      <c r="I70" s="906">
        <f>H70*F70</f>
        <v>0</v>
      </c>
      <c r="J70" s="907"/>
      <c r="K70" s="909" t="e">
        <f>J70*#REF!</f>
        <v>#REF!</v>
      </c>
      <c r="L70" s="910"/>
      <c r="M70" s="956"/>
    </row>
    <row r="71" spans="1:674" s="950" customFormat="1" x14ac:dyDescent="0.2">
      <c r="A71" s="901"/>
      <c r="B71" s="953" t="s">
        <v>1053</v>
      </c>
      <c r="C71" s="954" t="s">
        <v>1054</v>
      </c>
      <c r="D71" s="902"/>
      <c r="E71" s="955"/>
      <c r="F71" s="953"/>
      <c r="G71" s="906">
        <f t="shared" si="0"/>
        <v>0</v>
      </c>
      <c r="H71" s="953"/>
      <c r="I71" s="906">
        <f>H71*F71</f>
        <v>0</v>
      </c>
      <c r="J71" s="907"/>
      <c r="K71" s="909" t="e">
        <f>J71*#REF!</f>
        <v>#REF!</v>
      </c>
      <c r="L71" s="910"/>
      <c r="M71" s="956"/>
    </row>
    <row r="72" spans="1:674" s="950" customFormat="1" ht="15" x14ac:dyDescent="0.2">
      <c r="A72" s="901"/>
      <c r="B72" s="951"/>
      <c r="C72" s="954"/>
      <c r="D72" s="953"/>
      <c r="E72" s="953"/>
      <c r="F72" s="951" t="s">
        <v>1055</v>
      </c>
      <c r="G72" s="436">
        <f>SUM(G69:G71)</f>
        <v>0</v>
      </c>
      <c r="H72" s="907"/>
      <c r="I72" s="436">
        <f>SUM(I69:I71)</f>
        <v>0</v>
      </c>
      <c r="J72" s="907"/>
      <c r="K72" s="909" t="e">
        <f>SUM(K69:K71)</f>
        <v>#REF!</v>
      </c>
      <c r="L72" s="957"/>
      <c r="M72" s="436">
        <f>SUM(M69:M71)</f>
        <v>0</v>
      </c>
    </row>
    <row r="73" spans="1:674" s="950" customFormat="1" ht="15" x14ac:dyDescent="0.25">
      <c r="A73" s="901"/>
      <c r="B73" s="958" t="s">
        <v>1056</v>
      </c>
      <c r="C73" s="958"/>
      <c r="D73" s="958"/>
      <c r="E73" s="958"/>
      <c r="F73" s="958"/>
      <c r="G73" s="436">
        <f>G26+G40+G54+G59+G67</f>
        <v>0</v>
      </c>
      <c r="H73" s="907"/>
      <c r="I73" s="896">
        <f>ROUND(I26+I40+I54+I59+I67+I72,2)</f>
        <v>0</v>
      </c>
      <c r="J73" s="907"/>
      <c r="K73" s="897" t="e">
        <f>ROUND(K26+K40+K54+K59+K67+K72,2)</f>
        <v>#REF!</v>
      </c>
      <c r="L73" s="949"/>
      <c r="M73" s="914"/>
    </row>
    <row r="74" spans="1:674" s="950" customFormat="1" x14ac:dyDescent="0.2">
      <c r="A74" s="901"/>
      <c r="B74" s="959" t="s">
        <v>1057</v>
      </c>
      <c r="C74" s="959"/>
      <c r="D74" s="959"/>
      <c r="E74" s="959"/>
      <c r="F74" s="960">
        <v>0.3</v>
      </c>
      <c r="G74" s="906">
        <f>+G73*F74</f>
        <v>0</v>
      </c>
      <c r="H74" s="907"/>
      <c r="I74" s="908">
        <f>+I73*F74</f>
        <v>0</v>
      </c>
      <c r="J74" s="907"/>
      <c r="K74" s="909" t="e">
        <f>+K73*F74</f>
        <v>#REF!</v>
      </c>
      <c r="L74" s="949"/>
      <c r="M74" s="956">
        <f>+M73*F74</f>
        <v>0</v>
      </c>
    </row>
    <row r="75" spans="1:674" s="950" customFormat="1" x14ac:dyDescent="0.2">
      <c r="A75" s="880"/>
      <c r="B75" s="959" t="s">
        <v>1058</v>
      </c>
      <c r="C75" s="959"/>
      <c r="D75" s="959"/>
      <c r="E75" s="959"/>
      <c r="F75" s="960">
        <v>0.01</v>
      </c>
      <c r="G75" s="906">
        <f>+G73*F75</f>
        <v>0</v>
      </c>
      <c r="H75" s="907"/>
      <c r="I75" s="908">
        <f>+I73*F75</f>
        <v>0</v>
      </c>
      <c r="J75" s="907"/>
      <c r="K75" s="909" t="e">
        <f>+K73*F75</f>
        <v>#REF!</v>
      </c>
      <c r="L75" s="949"/>
      <c r="M75" s="956">
        <f>+M73*F75</f>
        <v>0</v>
      </c>
    </row>
    <row r="76" spans="1:674" s="950" customFormat="1" x14ac:dyDescent="0.2">
      <c r="A76" s="880"/>
      <c r="B76" s="959" t="s">
        <v>1059</v>
      </c>
      <c r="C76" s="959"/>
      <c r="D76" s="959"/>
      <c r="E76" s="959"/>
      <c r="F76" s="960">
        <v>0.05</v>
      </c>
      <c r="G76" s="906">
        <f>+G73*F76</f>
        <v>0</v>
      </c>
      <c r="H76" s="907"/>
      <c r="I76" s="908">
        <f>+I73*F76</f>
        <v>0</v>
      </c>
      <c r="J76" s="907"/>
      <c r="K76" s="909" t="e">
        <f>+K73*F76</f>
        <v>#REF!</v>
      </c>
      <c r="L76" s="949"/>
      <c r="M76" s="956">
        <f>+M73*F76</f>
        <v>0</v>
      </c>
    </row>
    <row r="77" spans="1:674" s="950" customFormat="1" x14ac:dyDescent="0.2">
      <c r="A77" s="880"/>
      <c r="B77" s="959" t="s">
        <v>1060</v>
      </c>
      <c r="C77" s="959"/>
      <c r="D77" s="959"/>
      <c r="E77" s="959"/>
      <c r="F77" s="960">
        <v>0.19</v>
      </c>
      <c r="G77" s="906">
        <f>+G76*F77</f>
        <v>0</v>
      </c>
      <c r="H77" s="907"/>
      <c r="I77" s="908">
        <f>+I76*F77</f>
        <v>0</v>
      </c>
      <c r="J77" s="907"/>
      <c r="K77" s="909" t="e">
        <f>+K76*F77</f>
        <v>#REF!</v>
      </c>
      <c r="L77" s="949"/>
      <c r="M77" s="956">
        <f>+M76*F77</f>
        <v>0</v>
      </c>
    </row>
    <row r="78" spans="1:674" s="950" customFormat="1" ht="15" x14ac:dyDescent="0.25">
      <c r="A78" s="423"/>
      <c r="B78" s="631" t="s">
        <v>1061</v>
      </c>
      <c r="C78" s="631"/>
      <c r="D78" s="631"/>
      <c r="E78" s="631"/>
      <c r="F78" s="631"/>
      <c r="G78" s="436">
        <f>+SUM(G73:G77)</f>
        <v>0</v>
      </c>
      <c r="H78" s="437"/>
      <c r="I78" s="896">
        <f>ROUND(SUM(I73:I77),0)</f>
        <v>0</v>
      </c>
      <c r="J78" s="907"/>
      <c r="K78" s="897" t="e">
        <f>ROUND(SUM(K73:K77),0)</f>
        <v>#REF!</v>
      </c>
      <c r="L78" s="949"/>
      <c r="M78" s="436">
        <f>SUM(M73:M77)</f>
        <v>0</v>
      </c>
    </row>
    <row r="79" spans="1:674" s="872" customFormat="1" ht="15" x14ac:dyDescent="0.2">
      <c r="A79" s="880"/>
      <c r="B79" s="631" t="s">
        <v>1062</v>
      </c>
      <c r="C79" s="632"/>
      <c r="D79" s="632"/>
      <c r="E79" s="632"/>
      <c r="F79" s="632"/>
      <c r="G79" s="633"/>
      <c r="H79" s="634"/>
      <c r="I79" s="634"/>
      <c r="J79" s="634"/>
      <c r="K79" s="634"/>
      <c r="L79" s="634"/>
      <c r="M79" s="436">
        <f>M78</f>
        <v>0</v>
      </c>
    </row>
    <row r="80" spans="1:674" s="872" customFormat="1" ht="15" x14ac:dyDescent="0.2">
      <c r="A80" s="880"/>
      <c r="B80" s="631" t="s">
        <v>1063</v>
      </c>
      <c r="C80" s="632"/>
      <c r="D80" s="632"/>
      <c r="E80" s="632"/>
      <c r="F80" s="632"/>
      <c r="G80" s="633"/>
      <c r="H80" s="634"/>
      <c r="I80" s="634"/>
      <c r="J80" s="634"/>
      <c r="K80" s="634"/>
      <c r="L80" s="634"/>
      <c r="M80" s="436">
        <f>M79-G78</f>
        <v>0</v>
      </c>
    </row>
    <row r="81" spans="1:13" s="872" customFormat="1" ht="15" x14ac:dyDescent="0.2">
      <c r="A81" s="880"/>
      <c r="B81" s="874"/>
      <c r="C81" s="875"/>
      <c r="D81" s="875"/>
      <c r="E81" s="875"/>
      <c r="F81" s="875"/>
      <c r="G81" s="876"/>
      <c r="H81" s="877"/>
      <c r="I81" s="877"/>
      <c r="J81" s="877"/>
      <c r="K81" s="877"/>
      <c r="L81" s="877"/>
      <c r="M81" s="878"/>
    </row>
    <row r="82" spans="1:13" s="872" customFormat="1" ht="15" x14ac:dyDescent="0.2">
      <c r="A82" s="880"/>
      <c r="B82" s="874"/>
      <c r="C82" s="875"/>
      <c r="D82" s="875"/>
      <c r="E82" s="875"/>
      <c r="F82" s="875"/>
      <c r="G82" s="876"/>
      <c r="H82" s="877"/>
      <c r="I82" s="877"/>
      <c r="J82" s="877"/>
      <c r="K82" s="877"/>
      <c r="L82" s="877"/>
      <c r="M82" s="878"/>
    </row>
    <row r="83" spans="1:13" s="872" customFormat="1" ht="15" x14ac:dyDescent="0.2">
      <c r="A83" s="880"/>
      <c r="B83" s="874"/>
      <c r="C83" s="875"/>
      <c r="D83" s="875"/>
      <c r="E83" s="875"/>
      <c r="F83" s="875"/>
      <c r="G83" s="876"/>
      <c r="H83" s="883"/>
      <c r="I83" s="961"/>
      <c r="J83" s="883"/>
      <c r="K83" s="962"/>
      <c r="L83" s="877"/>
      <c r="M83" s="878"/>
    </row>
    <row r="84" spans="1:13" s="872" customFormat="1" ht="15" x14ac:dyDescent="0.2">
      <c r="A84" s="880"/>
      <c r="B84" s="874"/>
      <c r="C84" s="874"/>
      <c r="D84" s="874"/>
      <c r="E84" s="874"/>
      <c r="F84" s="879"/>
      <c r="G84" s="876"/>
      <c r="H84" s="883"/>
      <c r="I84" s="884"/>
      <c r="J84" s="883"/>
      <c r="L84" s="877"/>
    </row>
    <row r="85" spans="1:13" s="872" customFormat="1" ht="14.45" customHeight="1" x14ac:dyDescent="0.25">
      <c r="A85" s="880"/>
      <c r="B85" s="874"/>
      <c r="C85" s="963" t="s">
        <v>535</v>
      </c>
      <c r="D85" s="963" t="s">
        <v>535</v>
      </c>
      <c r="E85" s="964"/>
      <c r="F85" s="965"/>
      <c r="G85" s="966"/>
      <c r="H85" s="967"/>
      <c r="I85" s="968"/>
      <c r="J85" s="883"/>
      <c r="K85" s="969" t="s">
        <v>1077</v>
      </c>
      <c r="L85" s="970"/>
      <c r="M85" s="964"/>
    </row>
    <row r="86" spans="1:13" s="872" customFormat="1" ht="15" x14ac:dyDescent="0.25">
      <c r="A86" s="880"/>
      <c r="B86" s="874"/>
      <c r="C86" s="971" t="s">
        <v>1075</v>
      </c>
      <c r="D86" s="971" t="s">
        <v>1076</v>
      </c>
      <c r="F86" s="879"/>
      <c r="G86" s="966"/>
      <c r="H86" s="614"/>
      <c r="I86" s="614"/>
      <c r="J86" s="883"/>
      <c r="K86" s="972" t="s">
        <v>1064</v>
      </c>
      <c r="L86" s="877"/>
    </row>
    <row r="87" spans="1:13" s="872" customFormat="1" ht="15" x14ac:dyDescent="0.25">
      <c r="A87" s="880"/>
      <c r="B87" s="874"/>
      <c r="C87" s="973" t="s">
        <v>1065</v>
      </c>
      <c r="D87" s="971" t="s">
        <v>1075</v>
      </c>
      <c r="F87" s="879"/>
      <c r="G87" s="966"/>
      <c r="H87" s="614"/>
      <c r="I87" s="614"/>
      <c r="J87" s="883"/>
      <c r="K87" s="974" t="s">
        <v>1067</v>
      </c>
      <c r="L87" s="614"/>
      <c r="M87" s="614"/>
    </row>
    <row r="88" spans="1:13" s="872" customFormat="1" ht="15" x14ac:dyDescent="0.25">
      <c r="A88" s="880"/>
      <c r="B88" s="874"/>
      <c r="C88" s="615"/>
      <c r="D88" s="874"/>
      <c r="E88" s="874"/>
      <c r="F88" s="879"/>
      <c r="G88" s="966"/>
      <c r="H88" s="883"/>
      <c r="I88" s="884"/>
      <c r="J88" s="883"/>
      <c r="K88" s="614"/>
      <c r="L88" s="614"/>
      <c r="M88" s="614"/>
    </row>
    <row r="89" spans="1:13" s="872" customFormat="1" ht="15" x14ac:dyDescent="0.25">
      <c r="A89" s="880"/>
      <c r="B89" s="874"/>
      <c r="C89" s="874"/>
      <c r="D89" s="874"/>
      <c r="E89" s="874"/>
      <c r="F89" s="879"/>
      <c r="G89" s="966"/>
      <c r="H89" s="883"/>
      <c r="I89" s="884"/>
      <c r="J89" s="883"/>
      <c r="K89" s="881"/>
      <c r="L89" s="877"/>
    </row>
    <row r="90" spans="1:13" s="872" customFormat="1" ht="15" x14ac:dyDescent="0.25">
      <c r="A90" s="880"/>
      <c r="B90" s="874"/>
      <c r="C90" s="874"/>
      <c r="D90" s="874"/>
      <c r="E90" s="874"/>
      <c r="F90" s="879"/>
      <c r="G90" s="966"/>
      <c r="H90" s="883"/>
      <c r="I90" s="884"/>
      <c r="J90" s="883"/>
      <c r="K90" s="881"/>
      <c r="L90" s="877"/>
    </row>
    <row r="92" spans="1:13" ht="15" x14ac:dyDescent="0.25">
      <c r="C92" s="975"/>
    </row>
    <row r="93" spans="1:13" ht="15" x14ac:dyDescent="0.25">
      <c r="C93" s="975"/>
    </row>
    <row r="94" spans="1:13" ht="15" x14ac:dyDescent="0.25">
      <c r="C94" s="975"/>
      <c r="G94" s="976"/>
    </row>
  </sheetData>
  <mergeCells count="41">
    <mergeCell ref="B80:F80"/>
    <mergeCell ref="G80:L80"/>
    <mergeCell ref="B5:M5"/>
    <mergeCell ref="B6:C6"/>
    <mergeCell ref="D6:M6"/>
    <mergeCell ref="H8:I8"/>
    <mergeCell ref="H10:I10"/>
    <mergeCell ref="B76:E76"/>
    <mergeCell ref="B77:E77"/>
    <mergeCell ref="B78:F78"/>
    <mergeCell ref="B79:F79"/>
    <mergeCell ref="G79:L79"/>
    <mergeCell ref="B2:C4"/>
    <mergeCell ref="D2:K3"/>
    <mergeCell ref="L2:M2"/>
    <mergeCell ref="L3:M3"/>
    <mergeCell ref="D4:K4"/>
    <mergeCell ref="L4:M4"/>
    <mergeCell ref="B75:E75"/>
    <mergeCell ref="J10:K10"/>
    <mergeCell ref="L10:M10"/>
    <mergeCell ref="B26:F26"/>
    <mergeCell ref="B40:F40"/>
    <mergeCell ref="B54:F54"/>
    <mergeCell ref="B10:G10"/>
    <mergeCell ref="L7:M7"/>
    <mergeCell ref="L8:M9"/>
    <mergeCell ref="H86:I87"/>
    <mergeCell ref="C87:C88"/>
    <mergeCell ref="K87:M88"/>
    <mergeCell ref="D7:G9"/>
    <mergeCell ref="B7:C9"/>
    <mergeCell ref="H7:I7"/>
    <mergeCell ref="H9:I9"/>
    <mergeCell ref="J7:K7"/>
    <mergeCell ref="J8:K8"/>
    <mergeCell ref="J9:K9"/>
    <mergeCell ref="B59:F59"/>
    <mergeCell ref="B67:F67"/>
    <mergeCell ref="B73:F73"/>
    <mergeCell ref="B74:E74"/>
  </mergeCells>
  <conditionalFormatting sqref="B40">
    <cfRule type="cellIs" dxfId="28" priority="28" operator="equal">
      <formula>0</formula>
    </cfRule>
  </conditionalFormatting>
  <conditionalFormatting sqref="B54">
    <cfRule type="cellIs" dxfId="27" priority="27" operator="equal">
      <formula>0</formula>
    </cfRule>
  </conditionalFormatting>
  <conditionalFormatting sqref="B59">
    <cfRule type="cellIs" dxfId="26" priority="26" operator="equal">
      <formula>0</formula>
    </cfRule>
  </conditionalFormatting>
  <conditionalFormatting sqref="B67:B72 I68:I72 G78:G84 K85:K87 F91:G1048576">
    <cfRule type="cellIs" dxfId="25" priority="39" operator="equal">
      <formula>0</formula>
    </cfRule>
  </conditionalFormatting>
  <conditionalFormatting sqref="F14:F25">
    <cfRule type="cellIs" dxfId="24" priority="29" operator="equal">
      <formula>0</formula>
    </cfRule>
  </conditionalFormatting>
  <conditionalFormatting sqref="F28:F39">
    <cfRule type="cellIs" dxfId="23" priority="21" operator="equal">
      <formula>0</formula>
    </cfRule>
  </conditionalFormatting>
  <conditionalFormatting sqref="F42:F53">
    <cfRule type="cellIs" dxfId="22" priority="25" operator="equal">
      <formula>0</formula>
    </cfRule>
  </conditionalFormatting>
  <conditionalFormatting sqref="F56:F58">
    <cfRule type="cellIs" dxfId="21" priority="24" operator="equal">
      <formula>0</formula>
    </cfRule>
  </conditionalFormatting>
  <conditionalFormatting sqref="F61:F66">
    <cfRule type="cellIs" dxfId="20" priority="23" operator="equal">
      <formula>0</formula>
    </cfRule>
  </conditionalFormatting>
  <conditionalFormatting sqref="F85:F90">
    <cfRule type="cellIs" dxfId="19" priority="38" operator="equal">
      <formula>0</formula>
    </cfRule>
  </conditionalFormatting>
  <conditionalFormatting sqref="F10:G10 F11">
    <cfRule type="cellIs" dxfId="18" priority="37" operator="equal">
      <formula>0</formula>
    </cfRule>
  </conditionalFormatting>
  <conditionalFormatting sqref="F13:G13 B26 F27:G27 F41:G41 F55:G55 F60:G60">
    <cfRule type="cellIs" dxfId="17" priority="36" operator="equal">
      <formula>0</formula>
    </cfRule>
  </conditionalFormatting>
  <conditionalFormatting sqref="F74:G77">
    <cfRule type="cellIs" dxfId="16" priority="10" operator="equal">
      <formula>0</formula>
    </cfRule>
  </conditionalFormatting>
  <conditionalFormatting sqref="G14:G26">
    <cfRule type="cellIs" dxfId="15" priority="31" operator="equal">
      <formula>0</formula>
    </cfRule>
  </conditionalFormatting>
  <conditionalFormatting sqref="G28:G40">
    <cfRule type="cellIs" dxfId="14" priority="19" operator="equal">
      <formula>0</formula>
    </cfRule>
  </conditionalFormatting>
  <conditionalFormatting sqref="G42:G54">
    <cfRule type="cellIs" dxfId="13" priority="17" operator="equal">
      <formula>0</formula>
    </cfRule>
  </conditionalFormatting>
  <conditionalFormatting sqref="G56:G59">
    <cfRule type="cellIs" dxfId="12" priority="14" operator="equal">
      <formula>0</formula>
    </cfRule>
  </conditionalFormatting>
  <conditionalFormatting sqref="G61:G73">
    <cfRule type="cellIs" dxfId="11" priority="12" operator="equal">
      <formula>0</formula>
    </cfRule>
  </conditionalFormatting>
  <conditionalFormatting sqref="H78">
    <cfRule type="cellIs" dxfId="10" priority="8" operator="equal">
      <formula>0</formula>
    </cfRule>
  </conditionalFormatting>
  <conditionalFormatting sqref="I59">
    <cfRule type="cellIs" dxfId="9" priority="7" operator="equal">
      <formula>0</formula>
    </cfRule>
  </conditionalFormatting>
  <conditionalFormatting sqref="K59">
    <cfRule type="cellIs" dxfId="8" priority="6" operator="equal">
      <formula>0</formula>
    </cfRule>
  </conditionalFormatting>
  <conditionalFormatting sqref="M59">
    <cfRule type="cellIs" dxfId="7" priority="5" operator="equal">
      <formula>0</formula>
    </cfRule>
  </conditionalFormatting>
  <conditionalFormatting sqref="M72">
    <cfRule type="cellIs" dxfId="6" priority="3" operator="equal">
      <formula>0</formula>
    </cfRule>
  </conditionalFormatting>
  <conditionalFormatting sqref="M78:M83">
    <cfRule type="cellIs" dxfId="5" priority="1" operator="equal">
      <formula>0</formula>
    </cfRule>
  </conditionalFormatting>
  <printOptions horizontalCentered="1"/>
  <pageMargins left="0.55118110236220474" right="0.31496062992125984" top="0.51181102362204722" bottom="0.39370078740157483" header="0" footer="0"/>
  <pageSetup paperSize="5" scale="53" orientation="landscape" r:id="rId1"/>
  <headerFooter alignWithMargins="0"/>
  <rowBreaks count="1" manualBreakCount="1">
    <brk id="52" max="15" man="1"/>
  </rowBreaks>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D4A87-7413-47AF-BE24-65EEE16F7424}">
  <dimension ref="A1:L100"/>
  <sheetViews>
    <sheetView topLeftCell="A67" workbookViewId="0">
      <selection activeCell="H92" sqref="H92"/>
    </sheetView>
  </sheetViews>
  <sheetFormatPr baseColWidth="10" defaultColWidth="11.5703125" defaultRowHeight="14.25" x14ac:dyDescent="0.25"/>
  <cols>
    <col min="1" max="1" width="6.28515625" style="669" bestFit="1" customWidth="1"/>
    <col min="2" max="2" width="48.5703125" style="669" customWidth="1"/>
    <col min="3" max="3" width="7.140625" style="839" customWidth="1"/>
    <col min="4" max="4" width="7.5703125" style="840" customWidth="1"/>
    <col min="5" max="5" width="14" style="669" customWidth="1"/>
    <col min="6" max="6" width="19.140625" style="669" customWidth="1"/>
    <col min="7" max="7" width="8.5703125" style="841" customWidth="1"/>
    <col min="8" max="8" width="19" style="669" customWidth="1"/>
    <col min="9" max="9" width="7.28515625" style="669" bestFit="1" customWidth="1"/>
    <col min="10" max="10" width="19.140625" style="669" customWidth="1"/>
    <col min="11" max="11" width="10" style="841" customWidth="1"/>
    <col min="12" max="12" width="24.85546875" style="669" customWidth="1"/>
    <col min="13" max="16384" width="11.5703125" style="669"/>
  </cols>
  <sheetData>
    <row r="1" spans="1:12" ht="22.5" customHeight="1" x14ac:dyDescent="0.25">
      <c r="A1" s="667"/>
      <c r="B1" s="667"/>
      <c r="C1" s="667"/>
      <c r="D1" s="667"/>
      <c r="E1" s="667"/>
      <c r="F1" s="667"/>
      <c r="G1" s="667"/>
      <c r="H1" s="667"/>
      <c r="I1" s="667"/>
      <c r="J1" s="668"/>
      <c r="K1" s="668"/>
      <c r="L1" s="668"/>
    </row>
    <row r="2" spans="1:12" ht="26.25" customHeight="1" x14ac:dyDescent="0.25">
      <c r="A2" s="670"/>
      <c r="B2" s="670"/>
      <c r="C2" s="671" t="s">
        <v>1079</v>
      </c>
      <c r="D2" s="672"/>
      <c r="E2" s="672"/>
      <c r="F2" s="672"/>
      <c r="G2" s="672"/>
      <c r="H2" s="672"/>
      <c r="I2" s="672"/>
      <c r="J2" s="673"/>
      <c r="K2" s="1092" t="s">
        <v>1082</v>
      </c>
      <c r="L2" s="1093" t="s">
        <v>959</v>
      </c>
    </row>
    <row r="3" spans="1:12" ht="27.75" customHeight="1" x14ac:dyDescent="0.25">
      <c r="A3" s="670"/>
      <c r="B3" s="670"/>
      <c r="C3" s="674"/>
      <c r="D3" s="675"/>
      <c r="E3" s="675"/>
      <c r="F3" s="675"/>
      <c r="G3" s="675"/>
      <c r="H3" s="675"/>
      <c r="I3" s="675"/>
      <c r="J3" s="676"/>
      <c r="K3" s="1092" t="s">
        <v>764</v>
      </c>
      <c r="L3" s="1091"/>
    </row>
    <row r="4" spans="1:12" ht="27" customHeight="1" x14ac:dyDescent="0.25">
      <c r="A4" s="670"/>
      <c r="B4" s="670"/>
      <c r="C4" s="670" t="s">
        <v>1080</v>
      </c>
      <c r="D4" s="670"/>
      <c r="E4" s="670"/>
      <c r="F4" s="670"/>
      <c r="G4" s="670"/>
      <c r="H4" s="670"/>
      <c r="I4" s="670"/>
      <c r="J4" s="670"/>
      <c r="K4" s="1092" t="s">
        <v>960</v>
      </c>
      <c r="L4" s="1093" t="s">
        <v>961</v>
      </c>
    </row>
    <row r="5" spans="1:12" ht="30.6" customHeight="1" x14ac:dyDescent="0.25">
      <c r="A5" s="670" t="s">
        <v>1069</v>
      </c>
      <c r="B5" s="670"/>
      <c r="C5" s="670"/>
      <c r="D5" s="670"/>
      <c r="E5" s="670"/>
      <c r="F5" s="670"/>
      <c r="G5" s="670"/>
      <c r="H5" s="670"/>
      <c r="I5" s="670"/>
      <c r="J5" s="670"/>
      <c r="K5" s="670"/>
      <c r="L5" s="670"/>
    </row>
    <row r="6" spans="1:12" ht="22.5" customHeight="1" x14ac:dyDescent="0.25">
      <c r="A6" s="677" t="s">
        <v>1081</v>
      </c>
      <c r="B6" s="678"/>
      <c r="C6" s="679" t="s">
        <v>963</v>
      </c>
      <c r="D6" s="679"/>
      <c r="E6" s="679"/>
      <c r="F6" s="679"/>
      <c r="G6" s="679"/>
      <c r="H6" s="679"/>
      <c r="I6" s="679"/>
      <c r="J6" s="679"/>
      <c r="K6" s="679"/>
      <c r="L6" s="679"/>
    </row>
    <row r="7" spans="1:12" ht="22.5" customHeight="1" x14ac:dyDescent="0.25">
      <c r="A7" s="670" t="s">
        <v>1066</v>
      </c>
      <c r="B7" s="670"/>
      <c r="C7" s="680" t="s">
        <v>1071</v>
      </c>
      <c r="D7" s="681"/>
      <c r="E7" s="681"/>
      <c r="F7" s="682"/>
      <c r="G7" s="683" t="s">
        <v>1072</v>
      </c>
      <c r="H7" s="683"/>
      <c r="I7" s="684">
        <v>0</v>
      </c>
      <c r="J7" s="685"/>
      <c r="K7" s="686" t="s">
        <v>1074</v>
      </c>
      <c r="L7" s="686"/>
    </row>
    <row r="8" spans="1:12" ht="22.5" customHeight="1" x14ac:dyDescent="0.25">
      <c r="A8" s="670"/>
      <c r="B8" s="670"/>
      <c r="C8" s="687"/>
      <c r="D8" s="688"/>
      <c r="E8" s="688"/>
      <c r="F8" s="689"/>
      <c r="G8" s="683" t="s">
        <v>1073</v>
      </c>
      <c r="H8" s="683"/>
      <c r="I8" s="684">
        <v>0</v>
      </c>
      <c r="J8" s="685"/>
      <c r="K8" s="690" t="e">
        <f>ROUND(L72/F72,0)</f>
        <v>#REF!</v>
      </c>
      <c r="L8" s="690"/>
    </row>
    <row r="9" spans="1:12" ht="22.5" customHeight="1" x14ac:dyDescent="0.25">
      <c r="A9" s="670"/>
      <c r="B9" s="670"/>
      <c r="C9" s="691"/>
      <c r="D9" s="692"/>
      <c r="E9" s="692"/>
      <c r="F9" s="693"/>
      <c r="G9" s="683" t="s">
        <v>769</v>
      </c>
      <c r="H9" s="683"/>
      <c r="I9" s="684">
        <v>0</v>
      </c>
      <c r="J9" s="685"/>
      <c r="K9" s="690"/>
      <c r="L9" s="690"/>
    </row>
    <row r="10" spans="1:12" ht="63.6" customHeight="1" x14ac:dyDescent="0.25">
      <c r="A10" s="694" t="s">
        <v>647</v>
      </c>
      <c r="B10" s="695" t="s">
        <v>498</v>
      </c>
      <c r="C10" s="696" t="s">
        <v>760</v>
      </c>
      <c r="D10" s="697"/>
      <c r="E10" s="697"/>
      <c r="F10" s="698"/>
      <c r="G10" s="699" t="s">
        <v>831</v>
      </c>
      <c r="H10" s="700"/>
      <c r="I10" s="699" t="s">
        <v>1078</v>
      </c>
      <c r="J10" s="700"/>
      <c r="K10" s="699" t="s">
        <v>771</v>
      </c>
      <c r="L10" s="700"/>
    </row>
    <row r="11" spans="1:12" ht="34.15" customHeight="1" thickBot="1" x14ac:dyDescent="0.3">
      <c r="A11" s="701"/>
      <c r="B11" s="702"/>
      <c r="C11" s="703" t="s">
        <v>241</v>
      </c>
      <c r="D11" s="704" t="s">
        <v>772</v>
      </c>
      <c r="E11" s="705" t="s">
        <v>773</v>
      </c>
      <c r="F11" s="706" t="s">
        <v>649</v>
      </c>
      <c r="G11" s="707" t="s">
        <v>772</v>
      </c>
      <c r="H11" s="706" t="s">
        <v>649</v>
      </c>
      <c r="I11" s="707" t="s">
        <v>772</v>
      </c>
      <c r="J11" s="706" t="s">
        <v>649</v>
      </c>
      <c r="K11" s="707" t="s">
        <v>772</v>
      </c>
      <c r="L11" s="706" t="s">
        <v>649</v>
      </c>
    </row>
    <row r="12" spans="1:12" ht="15.75" thickBot="1" x14ac:dyDescent="0.3">
      <c r="A12" s="708"/>
      <c r="B12" s="709"/>
      <c r="C12" s="709"/>
      <c r="D12" s="709"/>
      <c r="E12" s="709"/>
      <c r="F12" s="709"/>
      <c r="G12" s="709"/>
      <c r="H12" s="709"/>
      <c r="I12" s="709"/>
      <c r="J12" s="709"/>
      <c r="K12" s="709"/>
      <c r="L12" s="710"/>
    </row>
    <row r="13" spans="1:12" s="721" customFormat="1" ht="20.100000000000001" customHeight="1" x14ac:dyDescent="0.25">
      <c r="A13" s="711">
        <v>1</v>
      </c>
      <c r="B13" s="712" t="s">
        <v>53</v>
      </c>
      <c r="C13" s="713"/>
      <c r="D13" s="714"/>
      <c r="E13" s="715" t="s">
        <v>650</v>
      </c>
      <c r="F13" s="716"/>
      <c r="G13" s="717"/>
      <c r="H13" s="718"/>
      <c r="I13" s="717"/>
      <c r="J13" s="718"/>
      <c r="K13" s="719"/>
      <c r="L13" s="720"/>
    </row>
    <row r="14" spans="1:12" s="729" customFormat="1" ht="20.100000000000001" customHeight="1" x14ac:dyDescent="0.2">
      <c r="A14" s="722">
        <v>1.01</v>
      </c>
      <c r="B14" s="723" t="s">
        <v>651</v>
      </c>
      <c r="C14" s="724" t="s">
        <v>216</v>
      </c>
      <c r="D14" s="725"/>
      <c r="E14" s="726"/>
      <c r="F14" s="727"/>
      <c r="G14" s="728"/>
      <c r="H14" s="727"/>
      <c r="I14" s="728"/>
      <c r="J14" s="727"/>
      <c r="K14" s="728" t="e">
        <f>+I14+G14+#REF!</f>
        <v>#REF!</v>
      </c>
      <c r="L14" s="727" t="e">
        <f>ROUND(E14*K14,0)</f>
        <v>#REF!</v>
      </c>
    </row>
    <row r="15" spans="1:12" s="729" customFormat="1" ht="20.100000000000001" customHeight="1" x14ac:dyDescent="0.2">
      <c r="A15" s="722">
        <v>1.21</v>
      </c>
      <c r="B15" s="730" t="s">
        <v>652</v>
      </c>
      <c r="C15" s="724" t="s">
        <v>216</v>
      </c>
      <c r="D15" s="725"/>
      <c r="E15" s="726"/>
      <c r="F15" s="727"/>
      <c r="G15" s="728"/>
      <c r="H15" s="727"/>
      <c r="I15" s="728"/>
      <c r="J15" s="727"/>
      <c r="K15" s="728" t="e">
        <f>+I15+G15+#REF!</f>
        <v>#REF!</v>
      </c>
      <c r="L15" s="727" t="e">
        <f>ROUND(E15*K15,0)</f>
        <v>#REF!</v>
      </c>
    </row>
    <row r="16" spans="1:12" s="729" customFormat="1" ht="20.100000000000001" customHeight="1" x14ac:dyDescent="0.2">
      <c r="A16" s="722">
        <v>1.23</v>
      </c>
      <c r="B16" s="730" t="s">
        <v>653</v>
      </c>
      <c r="C16" s="724" t="s">
        <v>216</v>
      </c>
      <c r="D16" s="725"/>
      <c r="E16" s="726"/>
      <c r="F16" s="727"/>
      <c r="G16" s="728"/>
      <c r="H16" s="727"/>
      <c r="I16" s="728"/>
      <c r="J16" s="727"/>
      <c r="K16" s="728" t="e">
        <f>+I16+G16+#REF!</f>
        <v>#REF!</v>
      </c>
      <c r="L16" s="727" t="e">
        <f>ROUND(E16*K16,0)</f>
        <v>#REF!</v>
      </c>
    </row>
    <row r="17" spans="1:12" s="729" customFormat="1" ht="20.100000000000001" customHeight="1" x14ac:dyDescent="0.2">
      <c r="A17" s="722">
        <v>1.04</v>
      </c>
      <c r="B17" s="730" t="s">
        <v>654</v>
      </c>
      <c r="C17" s="724" t="s">
        <v>216</v>
      </c>
      <c r="D17" s="725"/>
      <c r="E17" s="726"/>
      <c r="F17" s="727"/>
      <c r="G17" s="728"/>
      <c r="H17" s="727"/>
      <c r="I17" s="728"/>
      <c r="J17" s="727"/>
      <c r="K17" s="728" t="e">
        <f>+I17+G17+#REF!</f>
        <v>#REF!</v>
      </c>
      <c r="L17" s="727" t="e">
        <f>ROUND(E17*K17,0)</f>
        <v>#REF!</v>
      </c>
    </row>
    <row r="18" spans="1:12" s="667" customFormat="1" ht="20.100000000000001" customHeight="1" x14ac:dyDescent="0.25">
      <c r="A18" s="731"/>
      <c r="B18" s="732" t="s">
        <v>655</v>
      </c>
      <c r="C18" s="733" t="s">
        <v>650</v>
      </c>
      <c r="D18" s="734"/>
      <c r="E18" s="732"/>
      <c r="F18" s="735">
        <f>ROUND((SUM(F14:F17)),0)</f>
        <v>0</v>
      </c>
      <c r="G18" s="728" t="str">
        <f>+BALANCE!G10</f>
        <v xml:space="preserve"> </v>
      </c>
      <c r="H18" s="735">
        <f>SUM(H14:H17)</f>
        <v>0</v>
      </c>
      <c r="I18" s="728"/>
      <c r="J18" s="735">
        <f>SUM(J14:J17)</f>
        <v>0</v>
      </c>
      <c r="K18" s="728"/>
      <c r="L18" s="735" t="e">
        <f>SUM(L14:L17)</f>
        <v>#REF!</v>
      </c>
    </row>
    <row r="19" spans="1:12" s="667" customFormat="1" ht="20.100000000000001" customHeight="1" x14ac:dyDescent="0.25">
      <c r="A19" s="731">
        <v>2</v>
      </c>
      <c r="B19" s="732" t="s">
        <v>656</v>
      </c>
      <c r="C19" s="733"/>
      <c r="D19" s="734"/>
      <c r="E19" s="732"/>
      <c r="F19" s="736"/>
      <c r="G19" s="728"/>
      <c r="H19" s="736"/>
      <c r="I19" s="728"/>
      <c r="J19" s="736"/>
      <c r="K19" s="728"/>
      <c r="L19" s="736"/>
    </row>
    <row r="20" spans="1:12" ht="24" customHeight="1" x14ac:dyDescent="0.25">
      <c r="A20" s="722">
        <v>2.0099999999999998</v>
      </c>
      <c r="B20" s="737" t="s">
        <v>657</v>
      </c>
      <c r="C20" s="738" t="s">
        <v>172</v>
      </c>
      <c r="D20" s="739"/>
      <c r="E20" s="737"/>
      <c r="F20" s="727"/>
      <c r="G20" s="728"/>
      <c r="H20" s="727"/>
      <c r="I20" s="728"/>
      <c r="J20" s="727"/>
      <c r="K20" s="728" t="e">
        <f>+I20+G20+#REF!</f>
        <v>#REF!</v>
      </c>
      <c r="L20" s="727" t="e">
        <f>ROUND(E20*K20,0)</f>
        <v>#REF!</v>
      </c>
    </row>
    <row r="21" spans="1:12" ht="20.100000000000001" customHeight="1" x14ac:dyDescent="0.25">
      <c r="A21" s="722">
        <v>2.02</v>
      </c>
      <c r="B21" s="737" t="s">
        <v>658</v>
      </c>
      <c r="C21" s="738" t="s">
        <v>172</v>
      </c>
      <c r="D21" s="739"/>
      <c r="E21" s="737"/>
      <c r="F21" s="727"/>
      <c r="G21" s="728"/>
      <c r="H21" s="727"/>
      <c r="I21" s="728"/>
      <c r="J21" s="727"/>
      <c r="K21" s="728" t="e">
        <f>+I21+G21+#REF!</f>
        <v>#REF!</v>
      </c>
      <c r="L21" s="727" t="e">
        <f>ROUND(E21*K21,0)</f>
        <v>#REF!</v>
      </c>
    </row>
    <row r="22" spans="1:12" ht="20.100000000000001" customHeight="1" x14ac:dyDescent="0.25">
      <c r="A22" s="722">
        <v>2.0299999999999998</v>
      </c>
      <c r="B22" s="737" t="s">
        <v>659</v>
      </c>
      <c r="C22" s="435" t="s">
        <v>172</v>
      </c>
      <c r="D22" s="740"/>
      <c r="E22" s="726"/>
      <c r="F22" s="727"/>
      <c r="G22" s="728"/>
      <c r="H22" s="727"/>
      <c r="I22" s="728"/>
      <c r="J22" s="727"/>
      <c r="K22" s="728" t="e">
        <f>+I22+G22+#REF!</f>
        <v>#REF!</v>
      </c>
      <c r="L22" s="727" t="e">
        <f>ROUND(E22*K22,0)</f>
        <v>#REF!</v>
      </c>
    </row>
    <row r="23" spans="1:12" s="667" customFormat="1" ht="15" x14ac:dyDescent="0.25">
      <c r="A23" s="731"/>
      <c r="B23" s="732" t="s">
        <v>655</v>
      </c>
      <c r="C23" s="733" t="s">
        <v>650</v>
      </c>
      <c r="D23" s="734"/>
      <c r="E23" s="741"/>
      <c r="F23" s="735">
        <f>ROUND((SUM(F20:F22)),0)</f>
        <v>0</v>
      </c>
      <c r="G23" s="728"/>
      <c r="H23" s="735">
        <f>SUM(H20:H22)</f>
        <v>0</v>
      </c>
      <c r="I23" s="728"/>
      <c r="J23" s="735">
        <f>SUM(J20:J22)</f>
        <v>0</v>
      </c>
      <c r="K23" s="728"/>
      <c r="L23" s="735" t="e">
        <f>SUM(L20:L22)</f>
        <v>#REF!</v>
      </c>
    </row>
    <row r="24" spans="1:12" s="667" customFormat="1" ht="19.5" customHeight="1" x14ac:dyDescent="0.25">
      <c r="A24" s="731">
        <v>3</v>
      </c>
      <c r="B24" s="732" t="s">
        <v>660</v>
      </c>
      <c r="C24" s="733"/>
      <c r="D24" s="734"/>
      <c r="E24" s="741"/>
      <c r="F24" s="742"/>
      <c r="G24" s="728"/>
      <c r="H24" s="742"/>
      <c r="I24" s="728"/>
      <c r="J24" s="742"/>
      <c r="K24" s="728"/>
      <c r="L24" s="742"/>
    </row>
    <row r="25" spans="1:12" ht="17.25" customHeight="1" x14ac:dyDescent="0.2">
      <c r="A25" s="722">
        <v>3.01</v>
      </c>
      <c r="B25" s="730" t="s">
        <v>661</v>
      </c>
      <c r="C25" s="724" t="s">
        <v>241</v>
      </c>
      <c r="D25" s="725"/>
      <c r="E25" s="726"/>
      <c r="F25" s="727"/>
      <c r="G25" s="728"/>
      <c r="H25" s="727"/>
      <c r="I25" s="728"/>
      <c r="J25" s="727"/>
      <c r="K25" s="728" t="e">
        <f>+I25+G25+#REF!</f>
        <v>#REF!</v>
      </c>
      <c r="L25" s="727" t="e">
        <f>ROUND(E25*K25,0)</f>
        <v>#REF!</v>
      </c>
    </row>
    <row r="26" spans="1:12" ht="27.75" customHeight="1" x14ac:dyDescent="0.2">
      <c r="A26" s="722">
        <v>3.02</v>
      </c>
      <c r="B26" s="730" t="s">
        <v>662</v>
      </c>
      <c r="C26" s="724" t="s">
        <v>241</v>
      </c>
      <c r="D26" s="725"/>
      <c r="E26" s="726"/>
      <c r="F26" s="727"/>
      <c r="G26" s="728"/>
      <c r="H26" s="727"/>
      <c r="I26" s="728"/>
      <c r="J26" s="727"/>
      <c r="K26" s="728" t="e">
        <f>+I26+G26+#REF!</f>
        <v>#REF!</v>
      </c>
      <c r="L26" s="727" t="e">
        <f>ROUND(E26*K26,0)</f>
        <v>#REF!</v>
      </c>
    </row>
    <row r="27" spans="1:12" ht="16.5" customHeight="1" x14ac:dyDescent="0.25">
      <c r="A27" s="722">
        <v>3.03</v>
      </c>
      <c r="B27" s="730" t="s">
        <v>663</v>
      </c>
      <c r="C27" s="743" t="s">
        <v>172</v>
      </c>
      <c r="D27" s="740"/>
      <c r="E27" s="726"/>
      <c r="F27" s="727"/>
      <c r="G27" s="728"/>
      <c r="H27" s="727"/>
      <c r="I27" s="728"/>
      <c r="J27" s="727"/>
      <c r="K27" s="728" t="e">
        <f>+I27+G27+#REF!</f>
        <v>#REF!</v>
      </c>
      <c r="L27" s="727" t="e">
        <f>ROUND(E27*K27,0)</f>
        <v>#REF!</v>
      </c>
    </row>
    <row r="28" spans="1:12" s="667" customFormat="1" ht="15" x14ac:dyDescent="0.25">
      <c r="A28" s="731"/>
      <c r="B28" s="733" t="s">
        <v>655</v>
      </c>
      <c r="C28" s="733" t="s">
        <v>650</v>
      </c>
      <c r="D28" s="734"/>
      <c r="E28" s="733"/>
      <c r="F28" s="735">
        <f>SUM(F25:F27)</f>
        <v>0</v>
      </c>
      <c r="G28" s="728"/>
      <c r="H28" s="735">
        <f>SUM(H25:H27)</f>
        <v>0</v>
      </c>
      <c r="I28" s="728"/>
      <c r="J28" s="735">
        <f>SUM(J25:J27)</f>
        <v>0</v>
      </c>
      <c r="K28" s="728"/>
      <c r="L28" s="735" t="e">
        <f>SUM(L25:L27)</f>
        <v>#REF!</v>
      </c>
    </row>
    <row r="29" spans="1:12" s="667" customFormat="1" ht="26.25" customHeight="1" x14ac:dyDescent="0.25">
      <c r="A29" s="731">
        <v>4</v>
      </c>
      <c r="B29" s="732" t="s">
        <v>664</v>
      </c>
      <c r="C29" s="733"/>
      <c r="D29" s="734"/>
      <c r="E29" s="741"/>
      <c r="F29" s="742"/>
      <c r="G29" s="728"/>
      <c r="H29" s="742"/>
      <c r="I29" s="728"/>
      <c r="J29" s="742"/>
      <c r="K29" s="728"/>
      <c r="L29" s="742"/>
    </row>
    <row r="30" spans="1:12" s="667" customFormat="1" ht="20.100000000000001" customHeight="1" x14ac:dyDescent="0.25">
      <c r="A30" s="722">
        <v>4.01</v>
      </c>
      <c r="B30" s="730" t="s">
        <v>665</v>
      </c>
      <c r="C30" s="435" t="s">
        <v>241</v>
      </c>
      <c r="D30" s="740"/>
      <c r="E30" s="726"/>
      <c r="F30" s="727"/>
      <c r="G30" s="728"/>
      <c r="H30" s="727"/>
      <c r="I30" s="728"/>
      <c r="J30" s="727"/>
      <c r="K30" s="728" t="e">
        <f>+I30+G30+#REF!</f>
        <v>#REF!</v>
      </c>
      <c r="L30" s="727" t="e">
        <f t="shared" ref="L30:L50" si="0">ROUND(E30*K30,0)</f>
        <v>#REF!</v>
      </c>
    </row>
    <row r="31" spans="1:12" s="667" customFormat="1" ht="20.100000000000001" customHeight="1" x14ac:dyDescent="0.25">
      <c r="A31" s="722">
        <v>4.0199999999999996</v>
      </c>
      <c r="B31" s="730" t="s">
        <v>666</v>
      </c>
      <c r="C31" s="435" t="s">
        <v>241</v>
      </c>
      <c r="D31" s="740"/>
      <c r="E31" s="726"/>
      <c r="F31" s="727"/>
      <c r="G31" s="728"/>
      <c r="H31" s="727"/>
      <c r="I31" s="728"/>
      <c r="J31" s="727"/>
      <c r="K31" s="728" t="e">
        <f>+I31+G31+#REF!</f>
        <v>#REF!</v>
      </c>
      <c r="L31" s="727" t="e">
        <f t="shared" si="0"/>
        <v>#REF!</v>
      </c>
    </row>
    <row r="32" spans="1:12" s="667" customFormat="1" ht="20.100000000000001" customHeight="1" x14ac:dyDescent="0.25">
      <c r="A32" s="722">
        <v>4.03</v>
      </c>
      <c r="B32" s="730" t="s">
        <v>667</v>
      </c>
      <c r="C32" s="435" t="s">
        <v>241</v>
      </c>
      <c r="D32" s="740"/>
      <c r="E32" s="726"/>
      <c r="F32" s="727"/>
      <c r="G32" s="728"/>
      <c r="H32" s="727"/>
      <c r="I32" s="728"/>
      <c r="J32" s="727"/>
      <c r="K32" s="728" t="e">
        <f>+I32+G32+#REF!</f>
        <v>#REF!</v>
      </c>
      <c r="L32" s="727" t="e">
        <f t="shared" si="0"/>
        <v>#REF!</v>
      </c>
    </row>
    <row r="33" spans="1:12" s="667" customFormat="1" ht="20.100000000000001" customHeight="1" x14ac:dyDescent="0.25">
      <c r="A33" s="722">
        <v>4.04</v>
      </c>
      <c r="B33" s="730" t="s">
        <v>668</v>
      </c>
      <c r="C33" s="435" t="s">
        <v>241</v>
      </c>
      <c r="D33" s="740"/>
      <c r="E33" s="726"/>
      <c r="F33" s="727"/>
      <c r="G33" s="728"/>
      <c r="H33" s="727"/>
      <c r="I33" s="728"/>
      <c r="J33" s="727"/>
      <c r="K33" s="728" t="e">
        <f>+I33+G33+#REF!</f>
        <v>#REF!</v>
      </c>
      <c r="L33" s="727" t="e">
        <f t="shared" si="0"/>
        <v>#REF!</v>
      </c>
    </row>
    <row r="34" spans="1:12" s="667" customFormat="1" ht="20.100000000000001" customHeight="1" x14ac:dyDescent="0.25">
      <c r="A34" s="722">
        <v>4.05</v>
      </c>
      <c r="B34" s="730" t="s">
        <v>669</v>
      </c>
      <c r="C34" s="435" t="s">
        <v>241</v>
      </c>
      <c r="D34" s="740"/>
      <c r="E34" s="726"/>
      <c r="F34" s="727"/>
      <c r="G34" s="728"/>
      <c r="H34" s="727"/>
      <c r="I34" s="728"/>
      <c r="J34" s="727"/>
      <c r="K34" s="728" t="e">
        <f>+I34+G34+#REF!</f>
        <v>#REF!</v>
      </c>
      <c r="L34" s="727" t="e">
        <f t="shared" si="0"/>
        <v>#REF!</v>
      </c>
    </row>
    <row r="35" spans="1:12" s="667" customFormat="1" ht="20.100000000000001" customHeight="1" x14ac:dyDescent="0.25">
      <c r="A35" s="722">
        <v>4.0599999999999996</v>
      </c>
      <c r="B35" s="730" t="s">
        <v>670</v>
      </c>
      <c r="C35" s="435" t="s">
        <v>241</v>
      </c>
      <c r="D35" s="740"/>
      <c r="E35" s="726"/>
      <c r="F35" s="727"/>
      <c r="G35" s="728"/>
      <c r="H35" s="727"/>
      <c r="I35" s="728"/>
      <c r="J35" s="727"/>
      <c r="K35" s="728" t="e">
        <f>+I35+G35+#REF!</f>
        <v>#REF!</v>
      </c>
      <c r="L35" s="727" t="e">
        <f t="shared" si="0"/>
        <v>#REF!</v>
      </c>
    </row>
    <row r="36" spans="1:12" s="667" customFormat="1" ht="20.100000000000001" customHeight="1" x14ac:dyDescent="0.25">
      <c r="A36" s="722">
        <v>4.07</v>
      </c>
      <c r="B36" s="730" t="s">
        <v>671</v>
      </c>
      <c r="C36" s="435" t="s">
        <v>241</v>
      </c>
      <c r="D36" s="740"/>
      <c r="E36" s="726"/>
      <c r="F36" s="727"/>
      <c r="G36" s="728"/>
      <c r="H36" s="727"/>
      <c r="I36" s="728"/>
      <c r="J36" s="727"/>
      <c r="K36" s="728" t="e">
        <f>+I36+G36+#REF!</f>
        <v>#REF!</v>
      </c>
      <c r="L36" s="727" t="e">
        <f t="shared" si="0"/>
        <v>#REF!</v>
      </c>
    </row>
    <row r="37" spans="1:12" s="667" customFormat="1" ht="20.100000000000001" customHeight="1" x14ac:dyDescent="0.25">
      <c r="A37" s="722">
        <v>4.08</v>
      </c>
      <c r="B37" s="730" t="s">
        <v>672</v>
      </c>
      <c r="C37" s="435" t="s">
        <v>241</v>
      </c>
      <c r="D37" s="740"/>
      <c r="E37" s="726"/>
      <c r="F37" s="727"/>
      <c r="G37" s="728"/>
      <c r="H37" s="727"/>
      <c r="I37" s="728"/>
      <c r="J37" s="727"/>
      <c r="K37" s="728" t="e">
        <f>+I37+G37+#REF!</f>
        <v>#REF!</v>
      </c>
      <c r="L37" s="727" t="e">
        <f t="shared" si="0"/>
        <v>#REF!</v>
      </c>
    </row>
    <row r="38" spans="1:12" s="667" customFormat="1" ht="20.100000000000001" customHeight="1" x14ac:dyDescent="0.25">
      <c r="A38" s="722">
        <v>4.09</v>
      </c>
      <c r="B38" s="730" t="s">
        <v>673</v>
      </c>
      <c r="C38" s="435" t="s">
        <v>241</v>
      </c>
      <c r="D38" s="740"/>
      <c r="E38" s="726"/>
      <c r="F38" s="727"/>
      <c r="G38" s="728"/>
      <c r="H38" s="727"/>
      <c r="I38" s="728"/>
      <c r="J38" s="727"/>
      <c r="K38" s="728" t="e">
        <f>+I38+G38+#REF!</f>
        <v>#REF!</v>
      </c>
      <c r="L38" s="727" t="e">
        <f t="shared" si="0"/>
        <v>#REF!</v>
      </c>
    </row>
    <row r="39" spans="1:12" s="667" customFormat="1" ht="20.100000000000001" customHeight="1" x14ac:dyDescent="0.25">
      <c r="A39" s="722">
        <v>4.0999999999999996</v>
      </c>
      <c r="B39" s="730" t="s">
        <v>674</v>
      </c>
      <c r="C39" s="435" t="s">
        <v>241</v>
      </c>
      <c r="D39" s="740"/>
      <c r="E39" s="726"/>
      <c r="F39" s="727"/>
      <c r="G39" s="728"/>
      <c r="H39" s="727"/>
      <c r="I39" s="728"/>
      <c r="J39" s="727"/>
      <c r="K39" s="728" t="e">
        <f>+I39+G39+#REF!</f>
        <v>#REF!</v>
      </c>
      <c r="L39" s="727" t="e">
        <f t="shared" si="0"/>
        <v>#REF!</v>
      </c>
    </row>
    <row r="40" spans="1:12" s="667" customFormat="1" ht="20.100000000000001" customHeight="1" x14ac:dyDescent="0.25">
      <c r="A40" s="744">
        <v>4.1100000000000003</v>
      </c>
      <c r="B40" s="730" t="s">
        <v>675</v>
      </c>
      <c r="C40" s="745" t="s">
        <v>241</v>
      </c>
      <c r="D40" s="746"/>
      <c r="E40" s="747"/>
      <c r="F40" s="748"/>
      <c r="G40" s="728"/>
      <c r="H40" s="748"/>
      <c r="I40" s="728"/>
      <c r="J40" s="748"/>
      <c r="K40" s="728" t="e">
        <f>+I40+G40+#REF!</f>
        <v>#REF!</v>
      </c>
      <c r="L40" s="748" t="e">
        <f t="shared" si="0"/>
        <v>#REF!</v>
      </c>
    </row>
    <row r="41" spans="1:12" s="667" customFormat="1" ht="20.100000000000001" customHeight="1" x14ac:dyDescent="0.25">
      <c r="A41" s="722">
        <v>4.12</v>
      </c>
      <c r="B41" s="730" t="s">
        <v>676</v>
      </c>
      <c r="C41" s="435" t="s">
        <v>241</v>
      </c>
      <c r="D41" s="740"/>
      <c r="E41" s="726"/>
      <c r="F41" s="727"/>
      <c r="G41" s="728"/>
      <c r="H41" s="727"/>
      <c r="I41" s="728"/>
      <c r="J41" s="727"/>
      <c r="K41" s="728" t="e">
        <f>+I41+G41+#REF!</f>
        <v>#REF!</v>
      </c>
      <c r="L41" s="727" t="e">
        <f t="shared" si="0"/>
        <v>#REF!</v>
      </c>
    </row>
    <row r="42" spans="1:12" s="667" customFormat="1" ht="20.100000000000001" customHeight="1" x14ac:dyDescent="0.25">
      <c r="A42" s="722">
        <v>4.13</v>
      </c>
      <c r="B42" s="730" t="s">
        <v>677</v>
      </c>
      <c r="C42" s="435" t="s">
        <v>241</v>
      </c>
      <c r="D42" s="740"/>
      <c r="E42" s="726"/>
      <c r="F42" s="727"/>
      <c r="G42" s="728"/>
      <c r="H42" s="727"/>
      <c r="I42" s="728"/>
      <c r="J42" s="727"/>
      <c r="K42" s="728" t="e">
        <f>+I42+G42+#REF!</f>
        <v>#REF!</v>
      </c>
      <c r="L42" s="727" t="e">
        <f t="shared" si="0"/>
        <v>#REF!</v>
      </c>
    </row>
    <row r="43" spans="1:12" s="667" customFormat="1" ht="20.100000000000001" customHeight="1" x14ac:dyDescent="0.25">
      <c r="A43" s="722">
        <v>4.1399999999999997</v>
      </c>
      <c r="B43" s="730" t="s">
        <v>678</v>
      </c>
      <c r="C43" s="435" t="s">
        <v>241</v>
      </c>
      <c r="D43" s="740"/>
      <c r="E43" s="726"/>
      <c r="F43" s="727"/>
      <c r="G43" s="728"/>
      <c r="H43" s="727"/>
      <c r="I43" s="728"/>
      <c r="J43" s="727"/>
      <c r="K43" s="728" t="e">
        <f>+I43+G43+#REF!</f>
        <v>#REF!</v>
      </c>
      <c r="L43" s="727" t="e">
        <f t="shared" si="0"/>
        <v>#REF!</v>
      </c>
    </row>
    <row r="44" spans="1:12" s="667" customFormat="1" ht="20.100000000000001" customHeight="1" x14ac:dyDescent="0.25">
      <c r="A44" s="722">
        <v>4.1500000000000004</v>
      </c>
      <c r="B44" s="730" t="s">
        <v>679</v>
      </c>
      <c r="C44" s="435" t="s">
        <v>60</v>
      </c>
      <c r="D44" s="740"/>
      <c r="E44" s="726"/>
      <c r="F44" s="727"/>
      <c r="G44" s="728"/>
      <c r="H44" s="727"/>
      <c r="I44" s="728"/>
      <c r="J44" s="727"/>
      <c r="K44" s="728" t="e">
        <f>+I44+G44+#REF!</f>
        <v>#REF!</v>
      </c>
      <c r="L44" s="727" t="e">
        <f t="shared" si="0"/>
        <v>#REF!</v>
      </c>
    </row>
    <row r="45" spans="1:12" s="667" customFormat="1" ht="20.100000000000001" customHeight="1" x14ac:dyDescent="0.25">
      <c r="A45" s="722">
        <v>4.16</v>
      </c>
      <c r="B45" s="730" t="s">
        <v>680</v>
      </c>
      <c r="C45" s="435" t="s">
        <v>60</v>
      </c>
      <c r="D45" s="740"/>
      <c r="E45" s="726"/>
      <c r="F45" s="727"/>
      <c r="G45" s="728"/>
      <c r="H45" s="727"/>
      <c r="I45" s="728"/>
      <c r="J45" s="727"/>
      <c r="K45" s="728" t="e">
        <f>+I45+G45+#REF!</f>
        <v>#REF!</v>
      </c>
      <c r="L45" s="727" t="e">
        <f t="shared" si="0"/>
        <v>#REF!</v>
      </c>
    </row>
    <row r="46" spans="1:12" s="667" customFormat="1" ht="20.100000000000001" customHeight="1" x14ac:dyDescent="0.25">
      <c r="A46" s="722">
        <v>4.17</v>
      </c>
      <c r="B46" s="730" t="s">
        <v>681</v>
      </c>
      <c r="C46" s="435" t="s">
        <v>60</v>
      </c>
      <c r="D46" s="740"/>
      <c r="E46" s="726"/>
      <c r="F46" s="727"/>
      <c r="G46" s="728"/>
      <c r="H46" s="727"/>
      <c r="I46" s="728"/>
      <c r="J46" s="727"/>
      <c r="K46" s="728" t="e">
        <f>+I46+G46+#REF!</f>
        <v>#REF!</v>
      </c>
      <c r="L46" s="727" t="e">
        <f t="shared" si="0"/>
        <v>#REF!</v>
      </c>
    </row>
    <row r="47" spans="1:12" s="667" customFormat="1" ht="20.100000000000001" customHeight="1" x14ac:dyDescent="0.25">
      <c r="A47" s="722">
        <v>4.18</v>
      </c>
      <c r="B47" s="730" t="s">
        <v>682</v>
      </c>
      <c r="C47" s="435" t="s">
        <v>60</v>
      </c>
      <c r="D47" s="740"/>
      <c r="E47" s="726"/>
      <c r="F47" s="727"/>
      <c r="G47" s="728"/>
      <c r="H47" s="727"/>
      <c r="I47" s="728"/>
      <c r="J47" s="727"/>
      <c r="K47" s="728" t="e">
        <f>+I47+G47+#REF!</f>
        <v>#REF!</v>
      </c>
      <c r="L47" s="727" t="e">
        <f t="shared" si="0"/>
        <v>#REF!</v>
      </c>
    </row>
    <row r="48" spans="1:12" s="667" customFormat="1" ht="21.95" customHeight="1" x14ac:dyDescent="0.25">
      <c r="A48" s="722">
        <v>4.1900000000000004</v>
      </c>
      <c r="B48" s="730" t="s">
        <v>683</v>
      </c>
      <c r="C48" s="435" t="s">
        <v>60</v>
      </c>
      <c r="D48" s="740"/>
      <c r="E48" s="726"/>
      <c r="F48" s="727"/>
      <c r="G48" s="728"/>
      <c r="H48" s="727"/>
      <c r="I48" s="728"/>
      <c r="J48" s="727"/>
      <c r="K48" s="728" t="e">
        <f>+I48+G48+#REF!</f>
        <v>#REF!</v>
      </c>
      <c r="L48" s="727" t="e">
        <f t="shared" si="0"/>
        <v>#REF!</v>
      </c>
    </row>
    <row r="49" spans="1:12" s="667" customFormat="1" ht="21.95" customHeight="1" x14ac:dyDescent="0.25">
      <c r="A49" s="722">
        <v>4.2</v>
      </c>
      <c r="B49" s="730" t="s">
        <v>684</v>
      </c>
      <c r="C49" s="435" t="s">
        <v>60</v>
      </c>
      <c r="D49" s="740"/>
      <c r="E49" s="726"/>
      <c r="F49" s="727"/>
      <c r="G49" s="728"/>
      <c r="H49" s="727"/>
      <c r="I49" s="728"/>
      <c r="J49" s="727"/>
      <c r="K49" s="728" t="e">
        <f>+I49+G49+#REF!</f>
        <v>#REF!</v>
      </c>
      <c r="L49" s="727" t="e">
        <f t="shared" si="0"/>
        <v>#REF!</v>
      </c>
    </row>
    <row r="50" spans="1:12" s="667" customFormat="1" ht="21.95" customHeight="1" x14ac:dyDescent="0.25">
      <c r="A50" s="722">
        <v>4.21</v>
      </c>
      <c r="B50" s="730" t="s">
        <v>685</v>
      </c>
      <c r="C50" s="435" t="s">
        <v>60</v>
      </c>
      <c r="D50" s="740"/>
      <c r="E50" s="726"/>
      <c r="F50" s="727"/>
      <c r="G50" s="728"/>
      <c r="H50" s="727"/>
      <c r="I50" s="728"/>
      <c r="J50" s="727"/>
      <c r="K50" s="728" t="e">
        <f>+I50+G50+#REF!</f>
        <v>#REF!</v>
      </c>
      <c r="L50" s="727" t="e">
        <f t="shared" si="0"/>
        <v>#REF!</v>
      </c>
    </row>
    <row r="51" spans="1:12" s="667" customFormat="1" ht="15" x14ac:dyDescent="0.25">
      <c r="A51" s="749"/>
      <c r="B51" s="732" t="s">
        <v>655</v>
      </c>
      <c r="C51" s="733" t="s">
        <v>650</v>
      </c>
      <c r="D51" s="734"/>
      <c r="E51" s="741"/>
      <c r="F51" s="735">
        <f>SUM(F30:F50)</f>
        <v>0</v>
      </c>
      <c r="G51" s="728" t="str">
        <f>+BALANCE!G43</f>
        <v xml:space="preserve"> </v>
      </c>
      <c r="H51" s="735">
        <f>SUM(H30:H50)</f>
        <v>0</v>
      </c>
      <c r="I51" s="728"/>
      <c r="J51" s="735">
        <f>SUM(J30:J50)</f>
        <v>0</v>
      </c>
      <c r="K51" s="728"/>
      <c r="L51" s="735" t="e">
        <f>SUM(L30:L50)</f>
        <v>#REF!</v>
      </c>
    </row>
    <row r="52" spans="1:12" s="667" customFormat="1" ht="18.75" customHeight="1" x14ac:dyDescent="0.25">
      <c r="A52" s="731">
        <v>5</v>
      </c>
      <c r="B52" s="732" t="s">
        <v>686</v>
      </c>
      <c r="C52" s="733"/>
      <c r="D52" s="734"/>
      <c r="E52" s="733"/>
      <c r="F52" s="742"/>
      <c r="G52" s="728"/>
      <c r="H52" s="742"/>
      <c r="I52" s="728"/>
      <c r="J52" s="742"/>
      <c r="K52" s="728"/>
      <c r="L52" s="742"/>
    </row>
    <row r="53" spans="1:12" ht="18.75" customHeight="1" x14ac:dyDescent="0.25">
      <c r="A53" s="722">
        <v>5.01</v>
      </c>
      <c r="B53" s="750" t="s">
        <v>687</v>
      </c>
      <c r="C53" s="738" t="s">
        <v>241</v>
      </c>
      <c r="D53" s="739"/>
      <c r="E53" s="726"/>
      <c r="F53" s="727"/>
      <c r="G53" s="728"/>
      <c r="H53" s="727"/>
      <c r="I53" s="728"/>
      <c r="J53" s="727"/>
      <c r="K53" s="728" t="e">
        <f>+I53+G53+#REF!</f>
        <v>#REF!</v>
      </c>
      <c r="L53" s="727" t="e">
        <f>ROUND(E53*K53,0)</f>
        <v>#REF!</v>
      </c>
    </row>
    <row r="54" spans="1:12" ht="16.5" customHeight="1" x14ac:dyDescent="0.2">
      <c r="A54" s="722">
        <v>5.0199999999999996</v>
      </c>
      <c r="B54" s="751" t="s">
        <v>688</v>
      </c>
      <c r="C54" s="724" t="s">
        <v>689</v>
      </c>
      <c r="D54" s="725"/>
      <c r="E54" s="726"/>
      <c r="F54" s="727"/>
      <c r="G54" s="728"/>
      <c r="H54" s="727"/>
      <c r="I54" s="728"/>
      <c r="J54" s="727"/>
      <c r="K54" s="728" t="e">
        <f>+I54+G54+#REF!</f>
        <v>#REF!</v>
      </c>
      <c r="L54" s="727" t="e">
        <f>ROUND(E54*K54,0)</f>
        <v>#REF!</v>
      </c>
    </row>
    <row r="55" spans="1:12" s="667" customFormat="1" ht="21.95" customHeight="1" x14ac:dyDescent="0.25">
      <c r="A55" s="731"/>
      <c r="B55" s="733"/>
      <c r="C55" s="733"/>
      <c r="D55" s="734"/>
      <c r="E55" s="733" t="s">
        <v>655</v>
      </c>
      <c r="F55" s="735">
        <f>SUM(F53:F54)</f>
        <v>0</v>
      </c>
      <c r="G55" s="752"/>
      <c r="H55" s="735">
        <f>SUM(H53:H54)</f>
        <v>0</v>
      </c>
      <c r="I55" s="752"/>
      <c r="J55" s="735">
        <f>SUM(J53:J54)</f>
        <v>0</v>
      </c>
      <c r="K55" s="728"/>
      <c r="L55" s="735" t="e">
        <f>SUM(L53:L54)</f>
        <v>#REF!</v>
      </c>
    </row>
    <row r="56" spans="1:12" s="667" customFormat="1" ht="15" x14ac:dyDescent="0.25">
      <c r="A56" s="731">
        <v>6</v>
      </c>
      <c r="B56" s="732" t="s">
        <v>774</v>
      </c>
      <c r="C56" s="733"/>
      <c r="D56" s="734"/>
      <c r="E56" s="733"/>
      <c r="F56" s="742"/>
      <c r="G56" s="752"/>
      <c r="H56" s="742"/>
      <c r="I56" s="753"/>
      <c r="J56" s="753"/>
      <c r="K56" s="728"/>
      <c r="L56" s="742"/>
    </row>
    <row r="57" spans="1:12" s="667" customFormat="1" ht="15" x14ac:dyDescent="0.25">
      <c r="A57" s="722">
        <v>6.01</v>
      </c>
      <c r="B57" s="730" t="s">
        <v>835</v>
      </c>
      <c r="C57" s="738" t="s">
        <v>241</v>
      </c>
      <c r="D57" s="739"/>
      <c r="E57" s="726"/>
      <c r="F57" s="727"/>
      <c r="G57" s="728"/>
      <c r="H57" s="727"/>
      <c r="I57" s="728"/>
      <c r="J57" s="727"/>
      <c r="K57" s="728" t="e">
        <f>+I57+G57+#REF!</f>
        <v>#REF!</v>
      </c>
      <c r="L57" s="727" t="e">
        <f t="shared" ref="L57:L65" si="1">ROUND(E57*K57,0)</f>
        <v>#REF!</v>
      </c>
    </row>
    <row r="58" spans="1:12" s="667" customFormat="1" ht="15" x14ac:dyDescent="0.25">
      <c r="A58" s="722">
        <v>6.02</v>
      </c>
      <c r="B58" s="730" t="s">
        <v>836</v>
      </c>
      <c r="C58" s="738" t="s">
        <v>241</v>
      </c>
      <c r="D58" s="739"/>
      <c r="E58" s="726"/>
      <c r="F58" s="727"/>
      <c r="G58" s="728"/>
      <c r="H58" s="727"/>
      <c r="I58" s="728"/>
      <c r="J58" s="727"/>
      <c r="K58" s="728" t="e">
        <f>+I58+G58+#REF!</f>
        <v>#REF!</v>
      </c>
      <c r="L58" s="727" t="e">
        <f t="shared" si="1"/>
        <v>#REF!</v>
      </c>
    </row>
    <row r="59" spans="1:12" s="667" customFormat="1" ht="15" x14ac:dyDescent="0.25">
      <c r="A59" s="722">
        <v>6.03</v>
      </c>
      <c r="B59" s="730" t="s">
        <v>837</v>
      </c>
      <c r="C59" s="738" t="s">
        <v>241</v>
      </c>
      <c r="D59" s="739"/>
      <c r="E59" s="726"/>
      <c r="F59" s="727"/>
      <c r="G59" s="728"/>
      <c r="H59" s="727"/>
      <c r="I59" s="728"/>
      <c r="J59" s="727"/>
      <c r="K59" s="728" t="e">
        <f>+I59+G59+#REF!</f>
        <v>#REF!</v>
      </c>
      <c r="L59" s="727" t="e">
        <f t="shared" si="1"/>
        <v>#REF!</v>
      </c>
    </row>
    <row r="60" spans="1:12" s="667" customFormat="1" ht="15" x14ac:dyDescent="0.25">
      <c r="A60" s="722">
        <v>6.04</v>
      </c>
      <c r="B60" s="730" t="s">
        <v>838</v>
      </c>
      <c r="C60" s="738" t="s">
        <v>241</v>
      </c>
      <c r="D60" s="739"/>
      <c r="E60" s="726"/>
      <c r="F60" s="727"/>
      <c r="G60" s="728"/>
      <c r="H60" s="727"/>
      <c r="I60" s="728"/>
      <c r="J60" s="727"/>
      <c r="K60" s="728" t="e">
        <f>+I60+G60+#REF!</f>
        <v>#REF!</v>
      </c>
      <c r="L60" s="727" t="e">
        <f t="shared" si="1"/>
        <v>#REF!</v>
      </c>
    </row>
    <row r="61" spans="1:12" s="667" customFormat="1" ht="15" x14ac:dyDescent="0.25">
      <c r="A61" s="722">
        <v>6.05</v>
      </c>
      <c r="B61" s="730" t="s">
        <v>839</v>
      </c>
      <c r="C61" s="738" t="s">
        <v>241</v>
      </c>
      <c r="D61" s="739"/>
      <c r="E61" s="726"/>
      <c r="F61" s="727"/>
      <c r="G61" s="728"/>
      <c r="H61" s="727"/>
      <c r="I61" s="728"/>
      <c r="J61" s="727"/>
      <c r="K61" s="728" t="e">
        <f>+I61+G61+#REF!</f>
        <v>#REF!</v>
      </c>
      <c r="L61" s="727" t="e">
        <f t="shared" si="1"/>
        <v>#REF!</v>
      </c>
    </row>
    <row r="62" spans="1:12" s="667" customFormat="1" ht="28.5" x14ac:dyDescent="0.25">
      <c r="A62" s="722">
        <v>6.08</v>
      </c>
      <c r="B62" s="730" t="s">
        <v>848</v>
      </c>
      <c r="C62" s="738" t="s">
        <v>241</v>
      </c>
      <c r="D62" s="754"/>
      <c r="E62" s="755"/>
      <c r="F62" s="727"/>
      <c r="G62" s="728"/>
      <c r="H62" s="727"/>
      <c r="I62" s="756"/>
      <c r="J62" s="727"/>
      <c r="K62" s="728" t="e">
        <f>+I62+G62+#REF!</f>
        <v>#REF!</v>
      </c>
      <c r="L62" s="727" t="e">
        <f t="shared" si="1"/>
        <v>#REF!</v>
      </c>
    </row>
    <row r="63" spans="1:12" s="667" customFormat="1" ht="28.5" x14ac:dyDescent="0.25">
      <c r="A63" s="744">
        <v>6.09</v>
      </c>
      <c r="B63" s="730" t="s">
        <v>849</v>
      </c>
      <c r="C63" s="757" t="s">
        <v>241</v>
      </c>
      <c r="D63" s="754"/>
      <c r="E63" s="755"/>
      <c r="F63" s="727"/>
      <c r="G63" s="728"/>
      <c r="H63" s="727"/>
      <c r="I63" s="756"/>
      <c r="J63" s="727"/>
      <c r="K63" s="728" t="e">
        <f>+I63+G63+#REF!</f>
        <v>#REF!</v>
      </c>
      <c r="L63" s="727" t="e">
        <f t="shared" si="1"/>
        <v>#REF!</v>
      </c>
    </row>
    <row r="64" spans="1:12" s="667" customFormat="1" ht="28.5" x14ac:dyDescent="0.25">
      <c r="A64" s="756">
        <v>6.1</v>
      </c>
      <c r="B64" s="758" t="s">
        <v>874</v>
      </c>
      <c r="C64" s="759" t="s">
        <v>241</v>
      </c>
      <c r="D64" s="754"/>
      <c r="E64" s="755"/>
      <c r="F64" s="760"/>
      <c r="G64" s="756"/>
      <c r="H64" s="760"/>
      <c r="I64" s="756"/>
      <c r="J64" s="760"/>
      <c r="K64" s="728" t="e">
        <f>+I64+G64+#REF!</f>
        <v>#REF!</v>
      </c>
      <c r="L64" s="727" t="e">
        <f t="shared" si="1"/>
        <v>#REF!</v>
      </c>
    </row>
    <row r="65" spans="1:12" s="667" customFormat="1" ht="28.5" x14ac:dyDescent="0.25">
      <c r="A65" s="756">
        <v>6.11</v>
      </c>
      <c r="B65" s="758" t="s">
        <v>888</v>
      </c>
      <c r="C65" s="759" t="s">
        <v>241</v>
      </c>
      <c r="D65" s="754"/>
      <c r="E65" s="755"/>
      <c r="F65" s="760"/>
      <c r="G65" s="756"/>
      <c r="H65" s="760"/>
      <c r="I65" s="756"/>
      <c r="J65" s="760"/>
      <c r="K65" s="728" t="e">
        <f>+I65+G65+#REF!</f>
        <v>#REF!</v>
      </c>
      <c r="L65" s="727" t="e">
        <f t="shared" si="1"/>
        <v>#REF!</v>
      </c>
    </row>
    <row r="66" spans="1:12" s="667" customFormat="1" ht="15.75" thickBot="1" x14ac:dyDescent="0.3">
      <c r="A66" s="761"/>
      <c r="B66" s="762"/>
      <c r="C66" s="762"/>
      <c r="D66" s="763"/>
      <c r="E66" s="762" t="s">
        <v>655</v>
      </c>
      <c r="F66" s="764">
        <f>SUM(F57:F65)</f>
        <v>0</v>
      </c>
      <c r="G66" s="765"/>
      <c r="H66" s="764">
        <f>SUM(H57:H63)</f>
        <v>0</v>
      </c>
      <c r="I66" s="765"/>
      <c r="J66" s="764">
        <f>SUM(J57:J63)</f>
        <v>0</v>
      </c>
      <c r="K66" s="766"/>
      <c r="L66" s="764" t="e">
        <f>SUM(L57:L65)</f>
        <v>#REF!</v>
      </c>
    </row>
    <row r="67" spans="1:12" ht="15" thickBot="1" x14ac:dyDescent="0.3">
      <c r="A67" s="767"/>
      <c r="B67" s="768"/>
      <c r="C67" s="768"/>
      <c r="D67" s="768"/>
      <c r="E67" s="768"/>
      <c r="F67" s="768"/>
      <c r="G67" s="768"/>
      <c r="H67" s="768"/>
      <c r="I67" s="768"/>
      <c r="J67" s="768"/>
      <c r="K67" s="768"/>
      <c r="L67" s="769"/>
    </row>
    <row r="68" spans="1:12" ht="17.25" customHeight="1" x14ac:dyDescent="0.25">
      <c r="A68" s="770" t="s">
        <v>783</v>
      </c>
      <c r="B68" s="771"/>
      <c r="C68" s="772"/>
      <c r="D68" s="773"/>
      <c r="E68" s="774"/>
      <c r="F68" s="775">
        <f>SUM(F18,F23,F51,F28,F55,F66)</f>
        <v>0</v>
      </c>
      <c r="G68" s="776"/>
      <c r="H68" s="775">
        <f>SUM(H18,H23,H51,H28,H55,H66)</f>
        <v>0</v>
      </c>
      <c r="I68" s="777"/>
      <c r="J68" s="777">
        <f>SUM(J18,J23,J51,J28,J55,J66)</f>
        <v>0</v>
      </c>
      <c r="K68" s="778"/>
      <c r="L68" s="775" t="e">
        <f>SUM(L18,L23,L51,L28,L55,L66)</f>
        <v>#REF!</v>
      </c>
    </row>
    <row r="69" spans="1:12" ht="19.5" customHeight="1" x14ac:dyDescent="0.25">
      <c r="A69" s="779" t="s">
        <v>784</v>
      </c>
      <c r="B69" s="780"/>
      <c r="C69" s="781"/>
      <c r="D69" s="782"/>
      <c r="E69" s="783"/>
      <c r="F69" s="784">
        <f>ROUND(F68*D69,2)</f>
        <v>0</v>
      </c>
      <c r="G69" s="785"/>
      <c r="H69" s="784">
        <f>ROUND(H68*D69,2)</f>
        <v>0</v>
      </c>
      <c r="I69" s="786"/>
      <c r="J69" s="784">
        <f>ROUND(J68*D69,2)</f>
        <v>0</v>
      </c>
      <c r="K69" s="785"/>
      <c r="L69" s="784" t="e">
        <f>ROUND(L68*D69,2)</f>
        <v>#REF!</v>
      </c>
    </row>
    <row r="70" spans="1:12" ht="18.75" customHeight="1" x14ac:dyDescent="0.25">
      <c r="A70" s="787" t="s">
        <v>785</v>
      </c>
      <c r="B70" s="788"/>
      <c r="C70" s="789"/>
      <c r="D70" s="790"/>
      <c r="E70" s="791"/>
      <c r="F70" s="784">
        <f>ROUND(F68*D70,2)</f>
        <v>0</v>
      </c>
      <c r="G70" s="792"/>
      <c r="H70" s="784">
        <f>ROUND(H68*D70,2)</f>
        <v>0</v>
      </c>
      <c r="I70" s="786"/>
      <c r="J70" s="784">
        <f>ROUND(J68*D70,2)</f>
        <v>0</v>
      </c>
      <c r="K70" s="792"/>
      <c r="L70" s="784" t="e">
        <f>ROUND(L68*D70,2)</f>
        <v>#REF!</v>
      </c>
    </row>
    <row r="71" spans="1:12" ht="17.25" customHeight="1" x14ac:dyDescent="0.25">
      <c r="A71" s="779" t="s">
        <v>786</v>
      </c>
      <c r="B71" s="780"/>
      <c r="C71" s="781"/>
      <c r="D71" s="782"/>
      <c r="E71" s="723"/>
      <c r="F71" s="784">
        <f>ROUND(F68*D71,2)</f>
        <v>0</v>
      </c>
      <c r="G71" s="793"/>
      <c r="H71" s="784">
        <f>ROUND(H68*D71,2)</f>
        <v>0</v>
      </c>
      <c r="I71" s="786"/>
      <c r="J71" s="784">
        <f>ROUND(J68*D71,2)</f>
        <v>0</v>
      </c>
      <c r="K71" s="793"/>
      <c r="L71" s="784" t="e">
        <f>ROUND(L68*D71,2)</f>
        <v>#REF!</v>
      </c>
    </row>
    <row r="72" spans="1:12" ht="18.75" customHeight="1" x14ac:dyDescent="0.25">
      <c r="A72" s="787" t="s">
        <v>787</v>
      </c>
      <c r="B72" s="788"/>
      <c r="C72" s="794"/>
      <c r="D72" s="795"/>
      <c r="E72" s="796"/>
      <c r="F72" s="797">
        <f>ROUND(F68+F69+F70+F71,2)</f>
        <v>0</v>
      </c>
      <c r="G72" s="792"/>
      <c r="H72" s="797">
        <f>ROUND(H68+H69+H70+H71,2)</f>
        <v>0</v>
      </c>
      <c r="I72" s="798"/>
      <c r="J72" s="798">
        <f>ROUND(J68+J69+J70+J71,2)</f>
        <v>0</v>
      </c>
      <c r="K72" s="792"/>
      <c r="L72" s="797" t="e">
        <f>ROUND(L68+L69+L70+L71,2)</f>
        <v>#REF!</v>
      </c>
    </row>
    <row r="73" spans="1:12" ht="21.95" hidden="1" customHeight="1" x14ac:dyDescent="0.25">
      <c r="A73" s="799" t="s">
        <v>788</v>
      </c>
      <c r="B73" s="800"/>
      <c r="C73" s="801"/>
      <c r="D73" s="802">
        <v>0.2</v>
      </c>
      <c r="E73" s="803"/>
      <c r="F73" s="804">
        <f>ROUND(F72*D73,0)</f>
        <v>0</v>
      </c>
      <c r="G73" s="805"/>
      <c r="H73" s="806"/>
      <c r="I73" s="807"/>
      <c r="J73" s="807"/>
      <c r="K73" s="805"/>
      <c r="L73" s="808"/>
    </row>
    <row r="74" spans="1:12" ht="21.95" hidden="1" customHeight="1" x14ac:dyDescent="0.25">
      <c r="A74" s="809" t="s">
        <v>789</v>
      </c>
      <c r="B74" s="810"/>
      <c r="C74" s="811"/>
      <c r="D74" s="812"/>
      <c r="E74" s="812"/>
      <c r="F74" s="812"/>
      <c r="G74" s="813"/>
      <c r="H74" s="814">
        <f>H72*D73</f>
        <v>0</v>
      </c>
      <c r="I74" s="815"/>
      <c r="J74" s="815"/>
      <c r="K74" s="816"/>
      <c r="L74" s="814" t="e">
        <f>L72*D73</f>
        <v>#REF!</v>
      </c>
    </row>
    <row r="75" spans="1:12" ht="21.95" hidden="1" customHeight="1" x14ac:dyDescent="0.25">
      <c r="A75" s="817" t="s">
        <v>790</v>
      </c>
      <c r="B75" s="818"/>
      <c r="C75" s="819"/>
      <c r="D75" s="820"/>
      <c r="E75" s="820"/>
      <c r="F75" s="820"/>
      <c r="G75" s="821"/>
      <c r="H75" s="784">
        <f>F73-H74</f>
        <v>0</v>
      </c>
      <c r="I75" s="786"/>
      <c r="J75" s="786"/>
      <c r="K75" s="793"/>
      <c r="L75" s="784" t="e">
        <f>F73-L74</f>
        <v>#REF!</v>
      </c>
    </row>
    <row r="76" spans="1:12" ht="21.95" hidden="1" customHeight="1" x14ac:dyDescent="0.25">
      <c r="A76" s="822" t="s">
        <v>791</v>
      </c>
      <c r="B76" s="823"/>
      <c r="C76" s="824"/>
      <c r="D76" s="825"/>
      <c r="E76" s="825"/>
      <c r="F76" s="825"/>
      <c r="G76" s="826"/>
      <c r="H76" s="827">
        <f>H72-H74</f>
        <v>0</v>
      </c>
      <c r="I76" s="828"/>
      <c r="J76" s="828"/>
      <c r="K76" s="829"/>
      <c r="L76" s="827" t="e">
        <f>L72-L74</f>
        <v>#REF!</v>
      </c>
    </row>
    <row r="77" spans="1:12" ht="18.75" customHeight="1" x14ac:dyDescent="0.25">
      <c r="A77" s="779" t="s">
        <v>792</v>
      </c>
      <c r="B77" s="780"/>
      <c r="C77" s="830"/>
      <c r="D77" s="746"/>
      <c r="E77" s="783"/>
      <c r="F77" s="831"/>
      <c r="G77" s="793"/>
      <c r="H77" s="832">
        <v>0</v>
      </c>
      <c r="I77" s="833"/>
      <c r="J77" s="833">
        <v>0</v>
      </c>
      <c r="K77" s="793"/>
      <c r="L77" s="833">
        <v>0</v>
      </c>
    </row>
    <row r="78" spans="1:12" ht="18.75" customHeight="1" thickBot="1" x14ac:dyDescent="0.3">
      <c r="A78" s="787" t="s">
        <v>793</v>
      </c>
      <c r="B78" s="788"/>
      <c r="C78" s="834"/>
      <c r="D78" s="835"/>
      <c r="E78" s="836"/>
      <c r="F78" s="827"/>
      <c r="G78" s="829"/>
      <c r="H78" s="827"/>
      <c r="I78" s="828"/>
      <c r="J78" s="828"/>
      <c r="K78" s="829"/>
      <c r="L78" s="837"/>
    </row>
    <row r="79" spans="1:12" ht="28.5" customHeight="1" x14ac:dyDescent="0.25">
      <c r="A79" s="838"/>
      <c r="H79" s="842"/>
      <c r="I79" s="842"/>
      <c r="J79" s="842"/>
      <c r="L79" s="843"/>
    </row>
    <row r="80" spans="1:12" ht="15.75" customHeight="1" x14ac:dyDescent="0.25">
      <c r="A80" s="838"/>
      <c r="B80" s="844"/>
      <c r="E80" s="844"/>
      <c r="F80" s="844"/>
      <c r="G80" s="845"/>
      <c r="H80" s="844"/>
      <c r="I80" s="844"/>
      <c r="J80" s="844"/>
      <c r="K80" s="845"/>
      <c r="L80" s="843"/>
    </row>
    <row r="81" spans="1:12" ht="15.75" customHeight="1" x14ac:dyDescent="0.25">
      <c r="A81" s="838"/>
      <c r="B81" s="846"/>
      <c r="C81" s="847"/>
      <c r="D81" s="848"/>
      <c r="E81" s="849"/>
      <c r="F81" s="849"/>
      <c r="G81" s="849" t="s">
        <v>889</v>
      </c>
      <c r="H81" s="849"/>
      <c r="I81" s="849"/>
      <c r="J81" s="849"/>
      <c r="K81" s="849"/>
      <c r="L81" s="850"/>
    </row>
    <row r="82" spans="1:12" ht="15" x14ac:dyDescent="0.25">
      <c r="A82" s="838"/>
      <c r="B82" s="847"/>
      <c r="C82" s="847"/>
      <c r="D82" s="848"/>
      <c r="E82" s="849" t="s">
        <v>797</v>
      </c>
      <c r="F82" s="849"/>
      <c r="G82" s="849" t="s">
        <v>798</v>
      </c>
      <c r="H82" s="849"/>
      <c r="I82" s="849"/>
      <c r="J82" s="849"/>
      <c r="K82" s="849"/>
      <c r="L82" s="850"/>
    </row>
    <row r="83" spans="1:12" ht="15.75" thickBot="1" x14ac:dyDescent="0.3">
      <c r="A83" s="851"/>
      <c r="B83" s="852" t="s">
        <v>796</v>
      </c>
      <c r="C83" s="852"/>
      <c r="D83" s="853"/>
      <c r="E83" s="854"/>
      <c r="F83" s="854"/>
      <c r="G83" s="855"/>
      <c r="H83" s="855"/>
      <c r="I83" s="855"/>
      <c r="J83" s="855"/>
      <c r="K83" s="855"/>
      <c r="L83" s="856"/>
    </row>
    <row r="84" spans="1:12" x14ac:dyDescent="0.25">
      <c r="A84" s="857"/>
    </row>
    <row r="86" spans="1:12" ht="28.5" customHeight="1" x14ac:dyDescent="0.25">
      <c r="F86" s="858" t="e">
        <f>+F68-#REF!</f>
        <v>#REF!</v>
      </c>
      <c r="H86" s="669">
        <f>88*3.4*0.2</f>
        <v>59.84</v>
      </c>
      <c r="I86" s="859"/>
      <c r="J86" s="859">
        <f>SUM(J13:J66)</f>
        <v>0</v>
      </c>
      <c r="K86" s="859"/>
      <c r="L86" s="859" t="e">
        <f>SUM(L13:L66)</f>
        <v>#REF!</v>
      </c>
    </row>
    <row r="87" spans="1:12" x14ac:dyDescent="0.25">
      <c r="F87" s="860"/>
      <c r="I87" s="859"/>
      <c r="J87" s="859">
        <f t="shared" ref="J87:L87" si="2">+J86/2</f>
        <v>0</v>
      </c>
      <c r="K87" s="859"/>
      <c r="L87" s="859" t="e">
        <f t="shared" si="2"/>
        <v>#REF!</v>
      </c>
    </row>
    <row r="88" spans="1:12" ht="16.5" customHeight="1" x14ac:dyDescent="0.25">
      <c r="F88" s="859"/>
      <c r="H88" s="861"/>
      <c r="I88" s="859"/>
      <c r="J88" s="859">
        <f>+J68-J87</f>
        <v>0</v>
      </c>
      <c r="K88" s="859"/>
      <c r="L88" s="859" t="e">
        <f>+L68-L87</f>
        <v>#REF!</v>
      </c>
    </row>
    <row r="89" spans="1:12" ht="14.25" customHeight="1" x14ac:dyDescent="0.25">
      <c r="H89" s="861"/>
      <c r="I89" s="859"/>
      <c r="J89" s="859"/>
      <c r="K89" s="859"/>
      <c r="L89" s="859"/>
    </row>
    <row r="90" spans="1:12" ht="15.75" customHeight="1" x14ac:dyDescent="0.25">
      <c r="H90" s="861"/>
      <c r="I90" s="861"/>
      <c r="J90" s="861"/>
    </row>
    <row r="91" spans="1:12" x14ac:dyDescent="0.25">
      <c r="H91" s="861"/>
      <c r="I91" s="861"/>
      <c r="J91" s="861"/>
    </row>
    <row r="92" spans="1:12" x14ac:dyDescent="0.25">
      <c r="H92" s="861"/>
      <c r="I92" s="861"/>
      <c r="J92" s="861"/>
    </row>
    <row r="93" spans="1:12" x14ac:dyDescent="0.25">
      <c r="H93" s="861"/>
      <c r="I93" s="861"/>
      <c r="J93" s="861"/>
    </row>
    <row r="94" spans="1:12" x14ac:dyDescent="0.25">
      <c r="H94" s="861"/>
      <c r="I94" s="861"/>
      <c r="J94" s="861"/>
    </row>
    <row r="96" spans="1:12" x14ac:dyDescent="0.25">
      <c r="H96" s="861"/>
      <c r="I96" s="861"/>
      <c r="J96" s="861"/>
    </row>
    <row r="98" spans="1:12" s="841" customFormat="1" ht="27" customHeight="1" x14ac:dyDescent="0.25">
      <c r="A98" s="669"/>
      <c r="B98" s="669"/>
      <c r="C98" s="839"/>
      <c r="D98" s="840"/>
      <c r="E98" s="669"/>
      <c r="F98" s="669"/>
      <c r="H98" s="862"/>
      <c r="I98" s="862"/>
      <c r="J98" s="862"/>
      <c r="L98" s="669"/>
    </row>
    <row r="100" spans="1:12" s="841" customFormat="1" x14ac:dyDescent="0.25">
      <c r="A100" s="669"/>
      <c r="B100" s="669"/>
      <c r="C100" s="839"/>
      <c r="D100" s="840"/>
      <c r="E100" s="669"/>
      <c r="F100" s="669"/>
      <c r="H100" s="861"/>
      <c r="I100" s="861"/>
      <c r="J100" s="861"/>
      <c r="L100" s="669"/>
    </row>
  </sheetData>
  <mergeCells count="45">
    <mergeCell ref="J1:L1"/>
    <mergeCell ref="K10:L10"/>
    <mergeCell ref="A68:B68"/>
    <mergeCell ref="A69:B69"/>
    <mergeCell ref="A70:B70"/>
    <mergeCell ref="A71:B71"/>
    <mergeCell ref="A10:A11"/>
    <mergeCell ref="B10:B11"/>
    <mergeCell ref="C10:F10"/>
    <mergeCell ref="G10:H10"/>
    <mergeCell ref="I10:J10"/>
    <mergeCell ref="A72:B72"/>
    <mergeCell ref="A74:B74"/>
    <mergeCell ref="C74:G74"/>
    <mergeCell ref="A75:B75"/>
    <mergeCell ref="C75:G75"/>
    <mergeCell ref="A73:B73"/>
    <mergeCell ref="A76:B76"/>
    <mergeCell ref="C76:G76"/>
    <mergeCell ref="G83:K83"/>
    <mergeCell ref="A77:B77"/>
    <mergeCell ref="A78:B78"/>
    <mergeCell ref="E81:F81"/>
    <mergeCell ref="G81:K81"/>
    <mergeCell ref="E82:F82"/>
    <mergeCell ref="G82:K82"/>
    <mergeCell ref="A2:B4"/>
    <mergeCell ref="K2:L2"/>
    <mergeCell ref="K3:L3"/>
    <mergeCell ref="K4:L4"/>
    <mergeCell ref="C2:J3"/>
    <mergeCell ref="C4:J4"/>
    <mergeCell ref="K8:L9"/>
    <mergeCell ref="A5:L5"/>
    <mergeCell ref="A6:B6"/>
    <mergeCell ref="A7:B9"/>
    <mergeCell ref="C6:L6"/>
    <mergeCell ref="C7:F9"/>
    <mergeCell ref="G7:H7"/>
    <mergeCell ref="G8:H8"/>
    <mergeCell ref="G9:H9"/>
    <mergeCell ref="I7:J7"/>
    <mergeCell ref="I8:J8"/>
    <mergeCell ref="I9:J9"/>
    <mergeCell ref="K7:L7"/>
  </mergeCells>
  <conditionalFormatting sqref="G13:G65">
    <cfRule type="cellIs" dxfId="4" priority="16" stopIfTrue="1" operator="equal">
      <formula>"Columna1"</formula>
    </cfRule>
  </conditionalFormatting>
  <conditionalFormatting sqref="I13:I55">
    <cfRule type="cellIs" dxfId="3" priority="11" stopIfTrue="1" operator="equal">
      <formula>"Columna1"</formula>
    </cfRule>
  </conditionalFormatting>
  <conditionalFormatting sqref="I57:I65">
    <cfRule type="cellIs" dxfId="2" priority="9" stopIfTrue="1" operator="equal">
      <formula>"Columna1"</formula>
    </cfRule>
  </conditionalFormatting>
  <conditionalFormatting sqref="K14:K66">
    <cfRule type="cellIs" dxfId="1" priority="15" stopIfTrue="1" operator="equal">
      <formula>"Columna1"</formula>
    </cfRule>
  </conditionalFormatting>
  <pageMargins left="0.7" right="0.7" top="0.75" bottom="0.75" header="0.3" footer="0.3"/>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D7CEE-D6C4-46CC-ACDB-AE68DD4B05F1}">
  <dimension ref="B5:L110"/>
  <sheetViews>
    <sheetView topLeftCell="B109" workbookViewId="0">
      <selection activeCell="J18" sqref="J18"/>
    </sheetView>
  </sheetViews>
  <sheetFormatPr baseColWidth="10" defaultRowHeight="14.25" x14ac:dyDescent="0.2"/>
  <cols>
    <col min="1" max="1" width="11.42578125" style="877"/>
    <col min="2" max="2" width="6.7109375" style="877" customWidth="1"/>
    <col min="3" max="3" width="47.85546875" style="977" customWidth="1"/>
    <col min="4" max="4" width="10.85546875" style="978" customWidth="1"/>
    <col min="5" max="5" width="16.5703125" style="857" customWidth="1"/>
    <col min="6" max="6" width="17" style="877" bestFit="1" customWidth="1"/>
    <col min="7" max="7" width="23" style="877" bestFit="1" customWidth="1"/>
    <col min="8" max="8" width="11" style="857" bestFit="1" customWidth="1"/>
    <col min="9" max="9" width="20.85546875" style="979" bestFit="1" customWidth="1"/>
    <col min="10" max="10" width="11" style="857" bestFit="1" customWidth="1"/>
    <col min="11" max="11" width="20.85546875" style="877" bestFit="1" customWidth="1"/>
    <col min="12" max="16384" width="11.42578125" style="877"/>
  </cols>
  <sheetData>
    <row r="5" spans="2:11" ht="15" thickBot="1" x14ac:dyDescent="0.25"/>
    <row r="6" spans="2:11" ht="20.100000000000001" customHeight="1" x14ac:dyDescent="0.2">
      <c r="B6" s="1099"/>
      <c r="C6" s="1102"/>
      <c r="D6" s="1105" t="s">
        <v>958</v>
      </c>
      <c r="E6" s="1105"/>
      <c r="F6" s="1105"/>
      <c r="G6" s="1105"/>
      <c r="H6" s="1106"/>
      <c r="I6" s="636" t="s">
        <v>1082</v>
      </c>
      <c r="J6" s="640"/>
      <c r="K6" s="637"/>
    </row>
    <row r="7" spans="2:11" ht="20.100000000000001" customHeight="1" thickBot="1" x14ac:dyDescent="0.25">
      <c r="B7" s="1100"/>
      <c r="C7" s="1103"/>
      <c r="D7" s="1107"/>
      <c r="E7" s="1107"/>
      <c r="F7" s="1107"/>
      <c r="G7" s="1107"/>
      <c r="H7" s="1108"/>
      <c r="I7" s="638" t="s">
        <v>764</v>
      </c>
      <c r="J7" s="641"/>
      <c r="K7" s="639"/>
    </row>
    <row r="8" spans="2:11" ht="20.100000000000001" customHeight="1" thickBot="1" x14ac:dyDescent="0.25">
      <c r="B8" s="1101"/>
      <c r="C8" s="1104"/>
      <c r="D8" s="1109"/>
      <c r="E8" s="1109"/>
      <c r="F8" s="1109"/>
      <c r="G8" s="1109"/>
      <c r="H8" s="1110"/>
      <c r="I8" s="1094" t="s">
        <v>960</v>
      </c>
      <c r="J8" s="1095"/>
      <c r="K8" s="1096"/>
    </row>
    <row r="9" spans="2:11" ht="15" customHeight="1" x14ac:dyDescent="0.2">
      <c r="B9" s="636" t="s">
        <v>890</v>
      </c>
      <c r="C9" s="640"/>
      <c r="D9" s="1080">
        <v>1</v>
      </c>
      <c r="E9" s="980"/>
      <c r="F9" s="980"/>
      <c r="G9" s="980"/>
      <c r="H9" s="980"/>
      <c r="I9" s="980"/>
      <c r="J9" s="980"/>
      <c r="K9" s="981"/>
    </row>
    <row r="10" spans="2:11" ht="15.75" customHeight="1" thickBot="1" x14ac:dyDescent="0.25">
      <c r="B10" s="638"/>
      <c r="C10" s="641"/>
      <c r="D10" s="1097"/>
      <c r="E10" s="1118"/>
      <c r="F10" s="1118"/>
      <c r="G10" s="1118"/>
      <c r="H10" s="1118"/>
      <c r="I10" s="1118"/>
      <c r="J10" s="1118"/>
      <c r="K10" s="1098"/>
    </row>
    <row r="11" spans="2:11" ht="15.75" customHeight="1" thickBot="1" x14ac:dyDescent="0.25">
      <c r="B11" s="421" t="s">
        <v>767</v>
      </c>
      <c r="C11" s="422"/>
      <c r="D11" s="1115"/>
      <c r="E11" s="1116"/>
      <c r="F11" s="1116"/>
      <c r="G11" s="1117"/>
      <c r="H11" s="1119" t="s">
        <v>891</v>
      </c>
      <c r="I11" s="1120"/>
      <c r="J11" s="1125"/>
      <c r="K11" s="1126"/>
    </row>
    <row r="12" spans="2:11" ht="15.75" customHeight="1" thickBot="1" x14ac:dyDescent="0.25">
      <c r="B12" s="417" t="s">
        <v>768</v>
      </c>
      <c r="C12" s="418"/>
      <c r="D12" s="642"/>
      <c r="E12" s="1114"/>
      <c r="F12" s="1114"/>
      <c r="G12" s="643"/>
      <c r="H12" s="1121"/>
      <c r="I12" s="1122"/>
      <c r="J12" s="1127"/>
      <c r="K12" s="1128"/>
    </row>
    <row r="13" spans="2:11" ht="13.5" customHeight="1" thickBot="1" x14ac:dyDescent="0.25">
      <c r="B13" s="419" t="s">
        <v>892</v>
      </c>
      <c r="C13" s="420"/>
      <c r="D13" s="1111"/>
      <c r="E13" s="1112"/>
      <c r="F13" s="1112"/>
      <c r="G13" s="1113"/>
      <c r="H13" s="1123"/>
      <c r="I13" s="1124"/>
      <c r="J13" s="1129"/>
      <c r="K13" s="1130"/>
    </row>
    <row r="14" spans="2:11" ht="15.75" thickBot="1" x14ac:dyDescent="0.25">
      <c r="B14" s="644" t="s">
        <v>893</v>
      </c>
      <c r="C14" s="645"/>
      <c r="D14" s="645"/>
      <c r="E14" s="645"/>
      <c r="F14" s="645"/>
      <c r="G14" s="645"/>
      <c r="H14" s="645"/>
      <c r="I14" s="645"/>
      <c r="J14" s="645"/>
      <c r="K14" s="646"/>
    </row>
    <row r="15" spans="2:11" ht="21" customHeight="1" thickBot="1" x14ac:dyDescent="0.25">
      <c r="B15" s="644" t="s">
        <v>894</v>
      </c>
      <c r="C15" s="645"/>
      <c r="D15" s="645"/>
      <c r="E15" s="645"/>
      <c r="F15" s="645"/>
      <c r="G15" s="645"/>
      <c r="H15" s="645"/>
      <c r="I15" s="645"/>
      <c r="J15" s="645"/>
      <c r="K15" s="646"/>
    </row>
    <row r="16" spans="2:11" ht="29.25" customHeight="1" thickBot="1" x14ac:dyDescent="0.3">
      <c r="B16" s="647" t="s">
        <v>895</v>
      </c>
      <c r="C16" s="648"/>
      <c r="D16" s="647" t="s">
        <v>760</v>
      </c>
      <c r="E16" s="649"/>
      <c r="F16" s="649"/>
      <c r="G16" s="649"/>
      <c r="H16" s="650" t="s">
        <v>896</v>
      </c>
      <c r="I16" s="651"/>
      <c r="J16" s="652" t="s">
        <v>897</v>
      </c>
      <c r="K16" s="653"/>
    </row>
    <row r="17" spans="2:12" ht="15" x14ac:dyDescent="0.2">
      <c r="B17" s="982" t="s">
        <v>647</v>
      </c>
      <c r="C17" s="983" t="s">
        <v>898</v>
      </c>
      <c r="D17" s="984" t="s">
        <v>899</v>
      </c>
      <c r="E17" s="984" t="s">
        <v>900</v>
      </c>
      <c r="F17" s="985" t="s">
        <v>531</v>
      </c>
      <c r="G17" s="986" t="s">
        <v>649</v>
      </c>
      <c r="H17" s="987" t="s">
        <v>900</v>
      </c>
      <c r="I17" s="988" t="s">
        <v>649</v>
      </c>
      <c r="J17" s="989" t="s">
        <v>900</v>
      </c>
      <c r="K17" s="990" t="s">
        <v>649</v>
      </c>
    </row>
    <row r="18" spans="2:12" ht="15" x14ac:dyDescent="0.2">
      <c r="B18" s="991">
        <v>1</v>
      </c>
      <c r="C18" s="992" t="s">
        <v>53</v>
      </c>
      <c r="D18" s="993"/>
      <c r="E18" s="993"/>
      <c r="F18" s="994"/>
      <c r="G18" s="995"/>
      <c r="H18" s="996"/>
      <c r="I18" s="997"/>
      <c r="J18" s="998"/>
      <c r="K18" s="999"/>
    </row>
    <row r="19" spans="2:12" x14ac:dyDescent="0.2">
      <c r="B19" s="1000">
        <f>B18+0.1</f>
        <v>1.1000000000000001</v>
      </c>
      <c r="C19" s="1001" t="s">
        <v>901</v>
      </c>
      <c r="D19" s="435" t="s">
        <v>216</v>
      </c>
      <c r="E19" s="1002"/>
      <c r="F19" s="1003"/>
      <c r="G19" s="1004">
        <f>ROUND(E19*F19,0)</f>
        <v>0</v>
      </c>
      <c r="H19" s="1005">
        <f>+'[1]memorias de calculo'!I5</f>
        <v>0</v>
      </c>
      <c r="I19" s="1006">
        <f>ROUND(+H19*F19,)</f>
        <v>0</v>
      </c>
      <c r="J19" s="1007">
        <f>+H19</f>
        <v>0</v>
      </c>
      <c r="K19" s="1008">
        <f>+H19*F19</f>
        <v>0</v>
      </c>
      <c r="L19" s="1009"/>
    </row>
    <row r="20" spans="2:12" x14ac:dyDescent="0.2">
      <c r="B20" s="1000">
        <f t="shared" ref="B20:B25" si="0">B19+0.1</f>
        <v>1.2000000000000002</v>
      </c>
      <c r="C20" s="1001" t="s">
        <v>902</v>
      </c>
      <c r="D20" s="435" t="s">
        <v>241</v>
      </c>
      <c r="E20" s="1002"/>
      <c r="F20" s="1003"/>
      <c r="G20" s="1004">
        <f t="shared" ref="G20:G25" si="1">ROUND(E20*F20,0)</f>
        <v>0</v>
      </c>
      <c r="H20" s="1005">
        <f>+'[1]memorias de calculo'!I11</f>
        <v>0</v>
      </c>
      <c r="I20" s="1006">
        <f t="shared" ref="I20:I25" si="2">ROUND(+H20*F20,)</f>
        <v>0</v>
      </c>
      <c r="J20" s="1007">
        <f t="shared" ref="J20:J54" si="3">+H20</f>
        <v>0</v>
      </c>
      <c r="K20" s="1008">
        <f t="shared" ref="K20:K23" si="4">+H20*F20</f>
        <v>0</v>
      </c>
    </row>
    <row r="21" spans="2:12" x14ac:dyDescent="0.2">
      <c r="B21" s="1000">
        <f t="shared" si="0"/>
        <v>1.3000000000000003</v>
      </c>
      <c r="C21" s="1001" t="s">
        <v>903</v>
      </c>
      <c r="D21" s="435" t="s">
        <v>60</v>
      </c>
      <c r="E21" s="1002"/>
      <c r="F21" s="1003"/>
      <c r="G21" s="1004">
        <f t="shared" si="1"/>
        <v>0</v>
      </c>
      <c r="H21" s="1005">
        <f>+'[1]memorias de calculo'!I12</f>
        <v>0</v>
      </c>
      <c r="I21" s="1006">
        <f t="shared" si="2"/>
        <v>0</v>
      </c>
      <c r="J21" s="1007">
        <f t="shared" si="3"/>
        <v>0</v>
      </c>
      <c r="K21" s="1008">
        <f t="shared" si="4"/>
        <v>0</v>
      </c>
    </row>
    <row r="22" spans="2:12" x14ac:dyDescent="0.2">
      <c r="B22" s="1000">
        <f t="shared" si="0"/>
        <v>1.4000000000000004</v>
      </c>
      <c r="C22" s="1001" t="s">
        <v>904</v>
      </c>
      <c r="D22" s="435" t="s">
        <v>60</v>
      </c>
      <c r="E22" s="1002"/>
      <c r="F22" s="1010"/>
      <c r="G22" s="1011">
        <f t="shared" si="1"/>
        <v>0</v>
      </c>
      <c r="H22" s="1005">
        <f>+'[1]memorias de calculo'!I15</f>
        <v>0</v>
      </c>
      <c r="I22" s="1006">
        <f t="shared" si="2"/>
        <v>0</v>
      </c>
      <c r="J22" s="1007">
        <f t="shared" si="3"/>
        <v>0</v>
      </c>
      <c r="K22" s="1008">
        <f t="shared" si="4"/>
        <v>0</v>
      </c>
    </row>
    <row r="23" spans="2:12" x14ac:dyDescent="0.2">
      <c r="B23" s="1000">
        <f t="shared" si="0"/>
        <v>1.5000000000000004</v>
      </c>
      <c r="C23" s="1001" t="s">
        <v>905</v>
      </c>
      <c r="D23" s="435" t="s">
        <v>689</v>
      </c>
      <c r="E23" s="1002"/>
      <c r="F23" s="1003"/>
      <c r="G23" s="1004">
        <f>ROUND(E23*F23,0)</f>
        <v>0</v>
      </c>
      <c r="H23" s="1005">
        <v>0</v>
      </c>
      <c r="I23" s="1006">
        <f t="shared" si="2"/>
        <v>0</v>
      </c>
      <c r="J23" s="1007">
        <f t="shared" si="3"/>
        <v>0</v>
      </c>
      <c r="K23" s="1008">
        <f t="shared" si="4"/>
        <v>0</v>
      </c>
    </row>
    <row r="24" spans="2:12" x14ac:dyDescent="0.2">
      <c r="B24" s="1000">
        <f t="shared" si="0"/>
        <v>1.6000000000000005</v>
      </c>
      <c r="C24" s="1001" t="s">
        <v>906</v>
      </c>
      <c r="D24" s="435" t="s">
        <v>216</v>
      </c>
      <c r="E24" s="1002"/>
      <c r="F24" s="1003"/>
      <c r="G24" s="1004">
        <f t="shared" si="1"/>
        <v>0</v>
      </c>
      <c r="H24" s="1005">
        <f>+'[1]memorias de calculo'!I19</f>
        <v>0</v>
      </c>
      <c r="I24" s="1006">
        <f t="shared" si="2"/>
        <v>0</v>
      </c>
      <c r="J24" s="1007">
        <f t="shared" si="3"/>
        <v>0</v>
      </c>
      <c r="K24" s="1008">
        <f>ROUND(+H24*F24,)</f>
        <v>0</v>
      </c>
    </row>
    <row r="25" spans="2:12" ht="28.5" x14ac:dyDescent="0.2">
      <c r="B25" s="1000">
        <f t="shared" si="0"/>
        <v>1.7000000000000006</v>
      </c>
      <c r="C25" s="1012" t="s">
        <v>907</v>
      </c>
      <c r="D25" s="435" t="s">
        <v>216</v>
      </c>
      <c r="E25" s="1002"/>
      <c r="F25" s="1003"/>
      <c r="G25" s="1004">
        <f t="shared" si="1"/>
        <v>0</v>
      </c>
      <c r="H25" s="1005">
        <f>+'[1]memorias de calculo'!I27</f>
        <v>0</v>
      </c>
      <c r="I25" s="1006">
        <f t="shared" si="2"/>
        <v>0</v>
      </c>
      <c r="J25" s="1007">
        <f t="shared" si="3"/>
        <v>0</v>
      </c>
      <c r="K25" s="1008">
        <f>ROUND(+H25*F25,)</f>
        <v>0</v>
      </c>
    </row>
    <row r="26" spans="2:12" ht="15" x14ac:dyDescent="0.2">
      <c r="B26" s="1000"/>
      <c r="C26" s="1012"/>
      <c r="D26" s="435"/>
      <c r="E26" s="1013"/>
      <c r="F26" s="1014" t="s">
        <v>655</v>
      </c>
      <c r="G26" s="1015">
        <f>SUM(G19:G25)</f>
        <v>0</v>
      </c>
      <c r="H26" s="1005"/>
      <c r="I26" s="1016">
        <f>SUM(I19:I25)</f>
        <v>0</v>
      </c>
      <c r="J26" s="1007"/>
      <c r="K26" s="1017">
        <f>SUM(K19:K25)</f>
        <v>0</v>
      </c>
    </row>
    <row r="27" spans="2:12" ht="15" x14ac:dyDescent="0.2">
      <c r="B27" s="1018">
        <v>2</v>
      </c>
      <c r="C27" s="1019" t="s">
        <v>908</v>
      </c>
      <c r="D27" s="435"/>
      <c r="E27" s="1013"/>
      <c r="F27" s="1003"/>
      <c r="G27" s="1004"/>
      <c r="H27" s="1005"/>
      <c r="I27" s="1006"/>
      <c r="J27" s="1007"/>
      <c r="K27" s="1008"/>
    </row>
    <row r="28" spans="2:12" ht="28.5" x14ac:dyDescent="0.2">
      <c r="B28" s="1000">
        <f>B27+0.1</f>
        <v>2.1</v>
      </c>
      <c r="C28" s="1012" t="s">
        <v>657</v>
      </c>
      <c r="D28" s="435" t="s">
        <v>172</v>
      </c>
      <c r="E28" s="1020"/>
      <c r="F28" s="1003"/>
      <c r="G28" s="1004">
        <f t="shared" ref="G28:G34" si="5">ROUND(E28*F28,0)</f>
        <v>0</v>
      </c>
      <c r="H28" s="1005">
        <f>+'[1]memorias de calculo'!I30</f>
        <v>0</v>
      </c>
      <c r="I28" s="1006">
        <f>ROUND(+H28*F28,)</f>
        <v>0</v>
      </c>
      <c r="J28" s="1007">
        <f t="shared" si="3"/>
        <v>0</v>
      </c>
      <c r="K28" s="1008">
        <f>ROUND(+H28*F28,)</f>
        <v>0</v>
      </c>
    </row>
    <row r="29" spans="2:12" ht="28.5" x14ac:dyDescent="0.2">
      <c r="B29" s="1000">
        <f t="shared" ref="B29:B34" si="6">B28+0.1</f>
        <v>2.2000000000000002</v>
      </c>
      <c r="C29" s="1012" t="s">
        <v>909</v>
      </c>
      <c r="D29" s="435" t="s">
        <v>172</v>
      </c>
      <c r="E29" s="1020"/>
      <c r="F29" s="1003"/>
      <c r="G29" s="1004">
        <f t="shared" si="5"/>
        <v>0</v>
      </c>
      <c r="H29" s="1005">
        <f>+'[1]memorias de calculo'!I53</f>
        <v>0</v>
      </c>
      <c r="I29" s="1006">
        <f t="shared" ref="I29:I34" si="7">ROUND(+H29*F29,)</f>
        <v>0</v>
      </c>
      <c r="J29" s="1007">
        <f t="shared" si="3"/>
        <v>0</v>
      </c>
      <c r="K29" s="1008">
        <f t="shared" ref="K29:K34" si="8">ROUND(+H29*F29,)</f>
        <v>0</v>
      </c>
    </row>
    <row r="30" spans="2:12" x14ac:dyDescent="0.2">
      <c r="B30" s="1000">
        <f>B29+0.1</f>
        <v>2.3000000000000003</v>
      </c>
      <c r="C30" s="1012" t="s">
        <v>658</v>
      </c>
      <c r="D30" s="435" t="s">
        <v>172</v>
      </c>
      <c r="E30" s="1020"/>
      <c r="F30" s="1003"/>
      <c r="G30" s="1004">
        <f t="shared" si="5"/>
        <v>0</v>
      </c>
      <c r="H30" s="1005">
        <f>+'[1]memorias de calculo'!I61</f>
        <v>0</v>
      </c>
      <c r="I30" s="1006">
        <f t="shared" si="7"/>
        <v>0</v>
      </c>
      <c r="J30" s="1007">
        <f t="shared" si="3"/>
        <v>0</v>
      </c>
      <c r="K30" s="1008">
        <f t="shared" si="8"/>
        <v>0</v>
      </c>
    </row>
    <row r="31" spans="2:12" ht="28.5" x14ac:dyDescent="0.2">
      <c r="B31" s="1000">
        <f t="shared" si="6"/>
        <v>2.4000000000000004</v>
      </c>
      <c r="C31" s="1012" t="s">
        <v>910</v>
      </c>
      <c r="D31" s="435" t="s">
        <v>172</v>
      </c>
      <c r="E31" s="1020"/>
      <c r="F31" s="1003"/>
      <c r="G31" s="1004">
        <f t="shared" si="5"/>
        <v>0</v>
      </c>
      <c r="H31" s="1005">
        <f>+'[1]memorias de calculo'!I66</f>
        <v>0</v>
      </c>
      <c r="I31" s="1006">
        <f t="shared" si="7"/>
        <v>0</v>
      </c>
      <c r="J31" s="1007">
        <f t="shared" si="3"/>
        <v>0</v>
      </c>
      <c r="K31" s="1008">
        <f t="shared" si="8"/>
        <v>0</v>
      </c>
    </row>
    <row r="32" spans="2:12" ht="28.5" x14ac:dyDescent="0.2">
      <c r="B32" s="1000">
        <f t="shared" si="6"/>
        <v>2.5000000000000004</v>
      </c>
      <c r="C32" s="1012" t="s">
        <v>911</v>
      </c>
      <c r="D32" s="435" t="s">
        <v>172</v>
      </c>
      <c r="E32" s="1020"/>
      <c r="F32" s="1003"/>
      <c r="G32" s="1004">
        <f t="shared" si="5"/>
        <v>0</v>
      </c>
      <c r="H32" s="1005">
        <f>+'[1]memorias de calculo'!I87</f>
        <v>0</v>
      </c>
      <c r="I32" s="1006">
        <f t="shared" si="7"/>
        <v>0</v>
      </c>
      <c r="J32" s="1007">
        <f t="shared" si="3"/>
        <v>0</v>
      </c>
      <c r="K32" s="1008">
        <f t="shared" si="8"/>
        <v>0</v>
      </c>
    </row>
    <row r="33" spans="2:11" ht="28.5" x14ac:dyDescent="0.2">
      <c r="B33" s="1000">
        <f t="shared" si="6"/>
        <v>2.6000000000000005</v>
      </c>
      <c r="C33" s="1021" t="s">
        <v>912</v>
      </c>
      <c r="D33" s="435" t="s">
        <v>172</v>
      </c>
      <c r="E33" s="1020"/>
      <c r="F33" s="1003"/>
      <c r="G33" s="1004">
        <f t="shared" si="5"/>
        <v>0</v>
      </c>
      <c r="H33" s="1005">
        <v>0</v>
      </c>
      <c r="I33" s="1006">
        <f t="shared" si="7"/>
        <v>0</v>
      </c>
      <c r="J33" s="1007">
        <f t="shared" si="3"/>
        <v>0</v>
      </c>
      <c r="K33" s="1008">
        <f t="shared" si="8"/>
        <v>0</v>
      </c>
    </row>
    <row r="34" spans="2:11" x14ac:dyDescent="0.2">
      <c r="B34" s="1000">
        <f t="shared" si="6"/>
        <v>2.7000000000000006</v>
      </c>
      <c r="C34" s="1001" t="s">
        <v>659</v>
      </c>
      <c r="D34" s="435" t="s">
        <v>172</v>
      </c>
      <c r="E34" s="1020"/>
      <c r="F34" s="1003"/>
      <c r="G34" s="1004">
        <f t="shared" si="5"/>
        <v>0</v>
      </c>
      <c r="H34" s="1005">
        <f>+'[1]memorias de calculo'!I108</f>
        <v>0</v>
      </c>
      <c r="I34" s="1006">
        <f t="shared" si="7"/>
        <v>0</v>
      </c>
      <c r="J34" s="1007">
        <f t="shared" si="3"/>
        <v>0</v>
      </c>
      <c r="K34" s="1008">
        <f t="shared" si="8"/>
        <v>0</v>
      </c>
    </row>
    <row r="35" spans="2:11" ht="15" x14ac:dyDescent="0.2">
      <c r="B35" s="1000"/>
      <c r="C35" s="1021"/>
      <c r="D35" s="435"/>
      <c r="E35" s="1013"/>
      <c r="F35" s="1014" t="s">
        <v>655</v>
      </c>
      <c r="G35" s="1015">
        <f>SUM(G28:G34)</f>
        <v>0</v>
      </c>
      <c r="H35" s="1005"/>
      <c r="I35" s="1016">
        <f>SUM(I28:I34)</f>
        <v>0</v>
      </c>
      <c r="J35" s="1007"/>
      <c r="K35" s="1017">
        <f>SUM(K28:K34)</f>
        <v>0</v>
      </c>
    </row>
    <row r="36" spans="2:11" ht="15" x14ac:dyDescent="0.2">
      <c r="B36" s="1018">
        <v>3</v>
      </c>
      <c r="C36" s="1019" t="s">
        <v>913</v>
      </c>
      <c r="D36" s="435"/>
      <c r="E36" s="1013"/>
      <c r="F36" s="1003"/>
      <c r="G36" s="1004"/>
      <c r="H36" s="1005"/>
      <c r="I36" s="1006"/>
      <c r="J36" s="1007"/>
      <c r="K36" s="1008"/>
    </row>
    <row r="37" spans="2:11" ht="28.5" x14ac:dyDescent="0.2">
      <c r="B37" s="1000">
        <f>B36+0.1</f>
        <v>3.1</v>
      </c>
      <c r="C37" s="1012" t="s">
        <v>914</v>
      </c>
      <c r="D37" s="435" t="s">
        <v>60</v>
      </c>
      <c r="E37" s="1013"/>
      <c r="F37" s="1003"/>
      <c r="G37" s="1004">
        <f>ROUND(E37*F37,0)</f>
        <v>0</v>
      </c>
      <c r="H37" s="1005">
        <f>+'[1]memorias de calculo'!I132</f>
        <v>0</v>
      </c>
      <c r="I37" s="1006">
        <f t="shared" ref="I37" si="9">+H37*F37</f>
        <v>0</v>
      </c>
      <c r="J37" s="1007">
        <f t="shared" si="3"/>
        <v>0</v>
      </c>
      <c r="K37" s="1008">
        <f t="shared" ref="K37" si="10">+H37*F37</f>
        <v>0</v>
      </c>
    </row>
    <row r="38" spans="2:11" ht="15" x14ac:dyDescent="0.2">
      <c r="B38" s="1000"/>
      <c r="C38" s="1012"/>
      <c r="D38" s="435"/>
      <c r="E38" s="1013"/>
      <c r="F38" s="1014" t="s">
        <v>655</v>
      </c>
      <c r="G38" s="1015">
        <f>SUM(G37)</f>
        <v>0</v>
      </c>
      <c r="H38" s="1005"/>
      <c r="I38" s="1016">
        <f>SUM(I37)</f>
        <v>0</v>
      </c>
      <c r="J38" s="1007"/>
      <c r="K38" s="1017">
        <f>SUM(K37)</f>
        <v>0</v>
      </c>
    </row>
    <row r="39" spans="2:11" ht="15" x14ac:dyDescent="0.2">
      <c r="B39" s="1018">
        <v>4</v>
      </c>
      <c r="C39" s="1019" t="s">
        <v>915</v>
      </c>
      <c r="D39" s="435"/>
      <c r="E39" s="1013"/>
      <c r="F39" s="1003"/>
      <c r="G39" s="1004"/>
      <c r="H39" s="1005"/>
      <c r="I39" s="1006"/>
      <c r="J39" s="1007"/>
      <c r="K39" s="1008"/>
    </row>
    <row r="40" spans="2:11" x14ac:dyDescent="0.2">
      <c r="B40" s="1000">
        <f>B39+0.1</f>
        <v>4.0999999999999996</v>
      </c>
      <c r="C40" s="1001" t="s">
        <v>916</v>
      </c>
      <c r="D40" s="435" t="s">
        <v>216</v>
      </c>
      <c r="E40" s="1013"/>
      <c r="F40" s="1003"/>
      <c r="G40" s="1004">
        <f>ROUND(E40*F40,0)</f>
        <v>0</v>
      </c>
      <c r="H40" s="1005">
        <f>+'[1]memorias de calculo'!I135</f>
        <v>0</v>
      </c>
      <c r="I40" s="1006">
        <f>ROUND(+H40*F40,)</f>
        <v>0</v>
      </c>
      <c r="J40" s="1007">
        <f t="shared" si="3"/>
        <v>0</v>
      </c>
      <c r="K40" s="1008">
        <f>ROUND(+H40*F40,)</f>
        <v>0</v>
      </c>
    </row>
    <row r="41" spans="2:11" x14ac:dyDescent="0.2">
      <c r="B41" s="1000">
        <f t="shared" ref="B41:B44" si="11">B40+0.1</f>
        <v>4.1999999999999993</v>
      </c>
      <c r="C41" s="1001" t="s">
        <v>917</v>
      </c>
      <c r="D41" s="435" t="s">
        <v>241</v>
      </c>
      <c r="E41" s="1013"/>
      <c r="F41" s="1003"/>
      <c r="G41" s="1004">
        <f>ROUND(E41*F41,0)</f>
        <v>0</v>
      </c>
      <c r="H41" s="1005">
        <v>0</v>
      </c>
      <c r="I41" s="1006">
        <f t="shared" ref="I41:I44" si="12">ROUND(+H41*F41,)</f>
        <v>0</v>
      </c>
      <c r="J41" s="1007">
        <f t="shared" si="3"/>
        <v>0</v>
      </c>
      <c r="K41" s="1008">
        <f t="shared" ref="K41:K44" si="13">ROUND(+H41*F41,)</f>
        <v>0</v>
      </c>
    </row>
    <row r="42" spans="2:11" ht="28.5" x14ac:dyDescent="0.2">
      <c r="B42" s="1000">
        <f t="shared" si="11"/>
        <v>4.2999999999999989</v>
      </c>
      <c r="C42" s="1021" t="s">
        <v>918</v>
      </c>
      <c r="D42" s="435" t="s">
        <v>235</v>
      </c>
      <c r="E42" s="1013"/>
      <c r="F42" s="1003"/>
      <c r="G42" s="1004">
        <f>ROUND(E42*F42,0)</f>
        <v>0</v>
      </c>
      <c r="H42" s="1005">
        <v>0</v>
      </c>
      <c r="I42" s="1006">
        <f t="shared" si="12"/>
        <v>0</v>
      </c>
      <c r="J42" s="1007">
        <f t="shared" si="3"/>
        <v>0</v>
      </c>
      <c r="K42" s="1008">
        <f t="shared" si="13"/>
        <v>0</v>
      </c>
    </row>
    <row r="43" spans="2:11" ht="28.5" x14ac:dyDescent="0.2">
      <c r="B43" s="1000">
        <f t="shared" si="11"/>
        <v>4.3999999999999986</v>
      </c>
      <c r="C43" s="1021" t="s">
        <v>919</v>
      </c>
      <c r="D43" s="435" t="s">
        <v>241</v>
      </c>
      <c r="E43" s="1013"/>
      <c r="F43" s="1003"/>
      <c r="G43" s="1004">
        <f>ROUND(E43*F43,0)</f>
        <v>0</v>
      </c>
      <c r="H43" s="1005">
        <v>0</v>
      </c>
      <c r="I43" s="1006">
        <f t="shared" si="12"/>
        <v>0</v>
      </c>
      <c r="J43" s="1007">
        <f t="shared" si="3"/>
        <v>0</v>
      </c>
      <c r="K43" s="1008">
        <f t="shared" si="13"/>
        <v>0</v>
      </c>
    </row>
    <row r="44" spans="2:11" x14ac:dyDescent="0.2">
      <c r="B44" s="1000">
        <f t="shared" si="11"/>
        <v>4.4999999999999982</v>
      </c>
      <c r="C44" s="1021" t="s">
        <v>920</v>
      </c>
      <c r="D44" s="435" t="s">
        <v>172</v>
      </c>
      <c r="E44" s="1013"/>
      <c r="F44" s="1003"/>
      <c r="G44" s="1004">
        <f>ROUND(E44*F44,0)</f>
        <v>0</v>
      </c>
      <c r="H44" s="1005">
        <v>0</v>
      </c>
      <c r="I44" s="1006">
        <f t="shared" si="12"/>
        <v>0</v>
      </c>
      <c r="J44" s="1007">
        <f t="shared" si="3"/>
        <v>0</v>
      </c>
      <c r="K44" s="1008">
        <f t="shared" si="13"/>
        <v>0</v>
      </c>
    </row>
    <row r="45" spans="2:11" ht="15" x14ac:dyDescent="0.2">
      <c r="B45" s="1000"/>
      <c r="C45" s="1021"/>
      <c r="D45" s="435"/>
      <c r="E45" s="1013"/>
      <c r="F45" s="1014" t="s">
        <v>655</v>
      </c>
      <c r="G45" s="1015">
        <f>SUM(G40:G44)</f>
        <v>0</v>
      </c>
      <c r="H45" s="1005"/>
      <c r="I45" s="1016">
        <f>SUM(I40:I44)</f>
        <v>0</v>
      </c>
      <c r="J45" s="1007"/>
      <c r="K45" s="1017">
        <f>SUM(K40:K44)</f>
        <v>0</v>
      </c>
    </row>
    <row r="46" spans="2:11" ht="15" x14ac:dyDescent="0.2">
      <c r="B46" s="1018">
        <v>5</v>
      </c>
      <c r="C46" s="1022" t="s">
        <v>686</v>
      </c>
      <c r="D46" s="435"/>
      <c r="E46" s="1013"/>
      <c r="F46" s="1003"/>
      <c r="G46" s="1004"/>
      <c r="H46" s="1005"/>
      <c r="I46" s="1006"/>
      <c r="J46" s="1007"/>
      <c r="K46" s="1008"/>
    </row>
    <row r="47" spans="2:11" ht="42.75" x14ac:dyDescent="0.2">
      <c r="B47" s="1000">
        <f>B46+0.1</f>
        <v>5.0999999999999996</v>
      </c>
      <c r="C47" s="1021" t="s">
        <v>921</v>
      </c>
      <c r="D47" s="435" t="s">
        <v>241</v>
      </c>
      <c r="E47" s="1013"/>
      <c r="F47" s="1003"/>
      <c r="G47" s="1004">
        <f>ROUND(E47*F47,0)</f>
        <v>0</v>
      </c>
      <c r="H47" s="1005">
        <f>+'[1]memorias de calculo'!I142</f>
        <v>0</v>
      </c>
      <c r="I47" s="1006">
        <f>+H47*F47</f>
        <v>0</v>
      </c>
      <c r="J47" s="1007">
        <f t="shared" si="3"/>
        <v>0</v>
      </c>
      <c r="K47" s="1008">
        <f t="shared" ref="K47" si="14">ROUND(+H47*F47,)</f>
        <v>0</v>
      </c>
    </row>
    <row r="48" spans="2:11" x14ac:dyDescent="0.2">
      <c r="B48" s="1000">
        <f>B47+0.1</f>
        <v>5.1999999999999993</v>
      </c>
      <c r="C48" s="1021" t="s">
        <v>922</v>
      </c>
      <c r="D48" s="435" t="s">
        <v>241</v>
      </c>
      <c r="E48" s="1013"/>
      <c r="F48" s="1003"/>
      <c r="G48" s="1004">
        <f>ROUND(E48*F48,0)</f>
        <v>0</v>
      </c>
      <c r="H48" s="1005">
        <v>0</v>
      </c>
      <c r="I48" s="1006">
        <f t="shared" ref="I48:I49" si="15">+H48*F48</f>
        <v>0</v>
      </c>
      <c r="J48" s="1007">
        <f t="shared" si="3"/>
        <v>0</v>
      </c>
      <c r="K48" s="1008">
        <f t="shared" ref="K48:K49" si="16">+J48*H48</f>
        <v>0</v>
      </c>
    </row>
    <row r="49" spans="2:11" x14ac:dyDescent="0.2">
      <c r="B49" s="1000">
        <f>B48+0.1</f>
        <v>5.2999999999999989</v>
      </c>
      <c r="C49" s="1012" t="s">
        <v>923</v>
      </c>
      <c r="D49" s="435" t="s">
        <v>689</v>
      </c>
      <c r="E49" s="743"/>
      <c r="F49" s="1003"/>
      <c r="G49" s="1004">
        <f>ROUND(E49*F49,0)</f>
        <v>0</v>
      </c>
      <c r="H49" s="1005">
        <v>0</v>
      </c>
      <c r="I49" s="1006">
        <f t="shared" si="15"/>
        <v>0</v>
      </c>
      <c r="J49" s="1007">
        <f t="shared" si="3"/>
        <v>0</v>
      </c>
      <c r="K49" s="1008">
        <f t="shared" si="16"/>
        <v>0</v>
      </c>
    </row>
    <row r="50" spans="2:11" ht="15" x14ac:dyDescent="0.2">
      <c r="B50" s="1000"/>
      <c r="C50" s="1021"/>
      <c r="D50" s="435"/>
      <c r="E50" s="1013"/>
      <c r="F50" s="1014" t="s">
        <v>655</v>
      </c>
      <c r="G50" s="1015">
        <f>SUM(G47:G49)</f>
        <v>0</v>
      </c>
      <c r="H50" s="1005"/>
      <c r="I50" s="1023">
        <f>+SUM(I47:I49)</f>
        <v>0</v>
      </c>
      <c r="J50" s="1007"/>
      <c r="K50" s="1024">
        <f>+SUM(K47:K49)</f>
        <v>0</v>
      </c>
    </row>
    <row r="51" spans="2:11" ht="15" x14ac:dyDescent="0.2">
      <c r="B51" s="1000">
        <v>6</v>
      </c>
      <c r="C51" s="732" t="s">
        <v>924</v>
      </c>
      <c r="D51" s="732"/>
      <c r="E51" s="1013"/>
      <c r="F51" s="1014"/>
      <c r="G51" s="1015"/>
      <c r="H51" s="1005"/>
      <c r="I51" s="1006"/>
      <c r="J51" s="1007"/>
      <c r="K51" s="1008"/>
    </row>
    <row r="52" spans="2:11" x14ac:dyDescent="0.2">
      <c r="B52" s="1000">
        <f t="shared" ref="B52:B54" si="17">B51+0.1</f>
        <v>6.1</v>
      </c>
      <c r="C52" s="1012" t="s">
        <v>925</v>
      </c>
      <c r="D52" s="435" t="s">
        <v>241</v>
      </c>
      <c r="E52" s="743"/>
      <c r="F52" s="1010"/>
      <c r="G52" s="1011">
        <f t="shared" ref="G52:G54" si="18">ROUND(E52*F52,0)</f>
        <v>0</v>
      </c>
      <c r="H52" s="1005">
        <f>+'[1]memorias de calculo'!I147</f>
        <v>0</v>
      </c>
      <c r="I52" s="1006">
        <f t="shared" ref="I52:I54" si="19">+H52*F52</f>
        <v>0</v>
      </c>
      <c r="J52" s="1007">
        <f t="shared" si="3"/>
        <v>0</v>
      </c>
      <c r="K52" s="1008">
        <f t="shared" ref="K52:K54" si="20">ROUND(+H52*F52,)</f>
        <v>0</v>
      </c>
    </row>
    <row r="53" spans="2:11" x14ac:dyDescent="0.2">
      <c r="B53" s="1000">
        <f t="shared" si="17"/>
        <v>6.1999999999999993</v>
      </c>
      <c r="C53" s="1012" t="s">
        <v>926</v>
      </c>
      <c r="D53" s="435" t="s">
        <v>241</v>
      </c>
      <c r="E53" s="743"/>
      <c r="F53" s="1010"/>
      <c r="G53" s="1011">
        <f t="shared" si="18"/>
        <v>0</v>
      </c>
      <c r="H53" s="1005">
        <f>+'[1]memorias de calculo'!I148</f>
        <v>0</v>
      </c>
      <c r="I53" s="1006">
        <f t="shared" si="19"/>
        <v>0</v>
      </c>
      <c r="J53" s="1007">
        <f t="shared" si="3"/>
        <v>0</v>
      </c>
      <c r="K53" s="1008">
        <f t="shared" si="20"/>
        <v>0</v>
      </c>
    </row>
    <row r="54" spans="2:11" x14ac:dyDescent="0.2">
      <c r="B54" s="1000">
        <f t="shared" si="17"/>
        <v>6.2999999999999989</v>
      </c>
      <c r="C54" s="1012" t="s">
        <v>927</v>
      </c>
      <c r="D54" s="435" t="s">
        <v>241</v>
      </c>
      <c r="E54" s="743"/>
      <c r="F54" s="1010"/>
      <c r="G54" s="1011">
        <f t="shared" si="18"/>
        <v>0</v>
      </c>
      <c r="H54" s="1005">
        <f>+'[1]memorias de calculo'!I149</f>
        <v>0</v>
      </c>
      <c r="I54" s="1006">
        <f t="shared" si="19"/>
        <v>0</v>
      </c>
      <c r="J54" s="1007">
        <f t="shared" si="3"/>
        <v>0</v>
      </c>
      <c r="K54" s="1008">
        <f t="shared" si="20"/>
        <v>0</v>
      </c>
    </row>
    <row r="55" spans="2:11" ht="15" x14ac:dyDescent="0.2">
      <c r="B55" s="1000"/>
      <c r="C55" s="1021"/>
      <c r="D55" s="993"/>
      <c r="E55" s="993"/>
      <c r="F55" s="1014" t="s">
        <v>655</v>
      </c>
      <c r="G55" s="1025">
        <f>SUM(G52:G54)</f>
        <v>0</v>
      </c>
      <c r="H55" s="1005"/>
      <c r="I55" s="1023">
        <f>+SUM(I52:I54)</f>
        <v>0</v>
      </c>
      <c r="J55" s="1007"/>
      <c r="K55" s="1024">
        <f>+SUM(K52:K54)</f>
        <v>0</v>
      </c>
    </row>
    <row r="56" spans="2:11" ht="15" x14ac:dyDescent="0.2">
      <c r="B56" s="1026"/>
      <c r="C56" s="1027"/>
      <c r="D56" s="670" t="s">
        <v>521</v>
      </c>
      <c r="E56" s="670"/>
      <c r="F56" s="670"/>
      <c r="G56" s="1028">
        <f>G26+G35+G38+G45+G50+G55</f>
        <v>0</v>
      </c>
      <c r="H56" s="1005"/>
      <c r="I56" s="1029">
        <f>I26+I35+I38+I45+I50+I55</f>
        <v>0</v>
      </c>
      <c r="J56" s="1007"/>
      <c r="K56" s="1030">
        <f>K26+K35+K38+K45+K50+K55</f>
        <v>0</v>
      </c>
    </row>
    <row r="57" spans="2:11" x14ac:dyDescent="0.2">
      <c r="B57" s="1026"/>
      <c r="C57" s="1027"/>
      <c r="D57" s="1031" t="s">
        <v>928</v>
      </c>
      <c r="E57" s="1031"/>
      <c r="F57" s="1032">
        <v>0.28000000000000003</v>
      </c>
      <c r="G57" s="1033">
        <f>ROUND(G56*F57,0)</f>
        <v>0</v>
      </c>
      <c r="H57" s="1005"/>
      <c r="I57" s="1034">
        <f>ROUND(I56*F57,0)</f>
        <v>0</v>
      </c>
      <c r="J57" s="1007"/>
      <c r="K57" s="1035">
        <f>ROUND(K56*F57,0)</f>
        <v>0</v>
      </c>
    </row>
    <row r="58" spans="2:11" x14ac:dyDescent="0.2">
      <c r="B58" s="1026"/>
      <c r="C58" s="1027"/>
      <c r="D58" s="1031" t="s">
        <v>929</v>
      </c>
      <c r="E58" s="1031"/>
      <c r="F58" s="1032">
        <v>0.02</v>
      </c>
      <c r="G58" s="1033">
        <f>ROUND(G56*F58,0)</f>
        <v>0</v>
      </c>
      <c r="H58" s="1005"/>
      <c r="I58" s="1034">
        <f>ROUND(I56*F58,0)</f>
        <v>0</v>
      </c>
      <c r="J58" s="1007"/>
      <c r="K58" s="1035">
        <f>ROUND(K56*F58,0)</f>
        <v>0</v>
      </c>
    </row>
    <row r="59" spans="2:11" ht="15" thickBot="1" x14ac:dyDescent="0.25">
      <c r="B59" s="1036"/>
      <c r="C59" s="1037"/>
      <c r="D59" s="1038" t="s">
        <v>786</v>
      </c>
      <c r="E59" s="1038"/>
      <c r="F59" s="1039">
        <v>0.05</v>
      </c>
      <c r="G59" s="1040">
        <f>ROUND(G56*F59,0)</f>
        <v>0</v>
      </c>
      <c r="H59" s="1041"/>
      <c r="I59" s="1042">
        <f>ROUND(I56*F59,0)</f>
        <v>0</v>
      </c>
      <c r="J59" s="1043"/>
      <c r="K59" s="1044">
        <f>ROUND(K56*F59,0)</f>
        <v>0</v>
      </c>
    </row>
    <row r="60" spans="2:11" ht="15.75" thickBot="1" x14ac:dyDescent="0.25">
      <c r="B60" s="1045"/>
      <c r="C60" s="1046"/>
      <c r="D60" s="1047" t="s">
        <v>930</v>
      </c>
      <c r="E60" s="1048"/>
      <c r="F60" s="1048"/>
      <c r="G60" s="1049">
        <f>SUM(G56:G59)</f>
        <v>0</v>
      </c>
      <c r="H60" s="1050"/>
      <c r="I60" s="1051">
        <f>SUM(I56:I59)</f>
        <v>0</v>
      </c>
      <c r="J60" s="1052"/>
      <c r="K60" s="1053">
        <f>SUM(K56:K59)</f>
        <v>0</v>
      </c>
    </row>
    <row r="61" spans="2:11" ht="21.75" customHeight="1" thickBot="1" x14ac:dyDescent="0.25">
      <c r="B61" s="644" t="s">
        <v>931</v>
      </c>
      <c r="C61" s="645"/>
      <c r="D61" s="645"/>
      <c r="E61" s="645"/>
      <c r="F61" s="645"/>
      <c r="G61" s="645"/>
      <c r="H61" s="645"/>
      <c r="I61" s="645"/>
      <c r="J61" s="645"/>
      <c r="K61" s="646"/>
    </row>
    <row r="62" spans="2:11" ht="30" customHeight="1" thickBot="1" x14ac:dyDescent="0.3">
      <c r="B62" s="647" t="s">
        <v>895</v>
      </c>
      <c r="C62" s="648"/>
      <c r="D62" s="647" t="s">
        <v>760</v>
      </c>
      <c r="E62" s="649"/>
      <c r="F62" s="649"/>
      <c r="G62" s="649"/>
      <c r="H62" s="650" t="s">
        <v>896</v>
      </c>
      <c r="I62" s="651"/>
      <c r="J62" s="652" t="s">
        <v>897</v>
      </c>
      <c r="K62" s="653"/>
    </row>
    <row r="63" spans="2:11" ht="30" x14ac:dyDescent="0.2">
      <c r="B63" s="1054" t="s">
        <v>647</v>
      </c>
      <c r="C63" s="983" t="s">
        <v>498</v>
      </c>
      <c r="D63" s="713" t="s">
        <v>52</v>
      </c>
      <c r="E63" s="713" t="s">
        <v>813</v>
      </c>
      <c r="F63" s="1055" t="s">
        <v>531</v>
      </c>
      <c r="G63" s="1056" t="s">
        <v>787</v>
      </c>
      <c r="H63" s="987" t="s">
        <v>900</v>
      </c>
      <c r="I63" s="988" t="s">
        <v>649</v>
      </c>
      <c r="J63" s="989" t="s">
        <v>900</v>
      </c>
      <c r="K63" s="990" t="s">
        <v>649</v>
      </c>
    </row>
    <row r="64" spans="2:11" ht="15" x14ac:dyDescent="0.2">
      <c r="B64" s="1018">
        <v>1</v>
      </c>
      <c r="C64" s="992" t="s">
        <v>53</v>
      </c>
      <c r="D64" s="435"/>
      <c r="E64" s="435"/>
      <c r="F64" s="438"/>
      <c r="G64" s="1057"/>
      <c r="H64" s="1005"/>
      <c r="I64" s="997"/>
      <c r="J64" s="1007"/>
      <c r="K64" s="999"/>
    </row>
    <row r="65" spans="2:11" x14ac:dyDescent="0.2">
      <c r="B65" s="1058">
        <f t="shared" ref="B65:B71" si="21">B64+0.01</f>
        <v>1.01</v>
      </c>
      <c r="C65" s="1012" t="s">
        <v>932</v>
      </c>
      <c r="D65" s="435" t="s">
        <v>60</v>
      </c>
      <c r="E65" s="743">
        <v>0</v>
      </c>
      <c r="F65" s="1010"/>
      <c r="G65" s="1011">
        <f t="shared" ref="G65:G71" si="22">ROUND(E65*F65,0)</f>
        <v>0</v>
      </c>
      <c r="H65" s="1005">
        <v>0</v>
      </c>
      <c r="I65" s="1006">
        <f>+H65*F65</f>
        <v>0</v>
      </c>
      <c r="J65" s="1007">
        <v>0</v>
      </c>
      <c r="K65" s="1008">
        <f>+J65*F65</f>
        <v>0</v>
      </c>
    </row>
    <row r="66" spans="2:11" x14ac:dyDescent="0.2">
      <c r="B66" s="1058">
        <f t="shared" si="21"/>
        <v>1.02</v>
      </c>
      <c r="C66" s="1001" t="s">
        <v>933</v>
      </c>
      <c r="D66" s="435" t="s">
        <v>216</v>
      </c>
      <c r="E66" s="743">
        <v>0</v>
      </c>
      <c r="F66" s="1010">
        <f>+F25</f>
        <v>0</v>
      </c>
      <c r="G66" s="1011">
        <f t="shared" si="22"/>
        <v>0</v>
      </c>
      <c r="H66" s="1005">
        <v>0</v>
      </c>
      <c r="I66" s="1006">
        <f t="shared" ref="I66:I71" si="23">+H66*F66</f>
        <v>0</v>
      </c>
      <c r="J66" s="1007">
        <v>0</v>
      </c>
      <c r="K66" s="1008">
        <f t="shared" ref="K66:K71" si="24">+J66*F66</f>
        <v>0</v>
      </c>
    </row>
    <row r="67" spans="2:11" ht="28.5" x14ac:dyDescent="0.2">
      <c r="B67" s="1058">
        <f t="shared" si="21"/>
        <v>1.03</v>
      </c>
      <c r="C67" s="1012" t="s">
        <v>934</v>
      </c>
      <c r="D67" s="435" t="s">
        <v>216</v>
      </c>
      <c r="E67" s="743">
        <v>0</v>
      </c>
      <c r="F67" s="1010">
        <f>+F24</f>
        <v>0</v>
      </c>
      <c r="G67" s="1011">
        <f t="shared" si="22"/>
        <v>0</v>
      </c>
      <c r="H67" s="1005">
        <v>0</v>
      </c>
      <c r="I67" s="1006">
        <f t="shared" si="23"/>
        <v>0</v>
      </c>
      <c r="J67" s="1007">
        <v>0</v>
      </c>
      <c r="K67" s="1008">
        <f t="shared" si="24"/>
        <v>0</v>
      </c>
    </row>
    <row r="68" spans="2:11" x14ac:dyDescent="0.2">
      <c r="B68" s="1058">
        <f t="shared" si="21"/>
        <v>1.04</v>
      </c>
      <c r="C68" s="1001" t="s">
        <v>935</v>
      </c>
      <c r="D68" s="435" t="s">
        <v>60</v>
      </c>
      <c r="E68" s="743">
        <v>0</v>
      </c>
      <c r="F68" s="1010">
        <f>+F21</f>
        <v>0</v>
      </c>
      <c r="G68" s="1011">
        <f t="shared" si="22"/>
        <v>0</v>
      </c>
      <c r="H68" s="1005">
        <v>0</v>
      </c>
      <c r="I68" s="1006">
        <f t="shared" si="23"/>
        <v>0</v>
      </c>
      <c r="J68" s="1007">
        <v>0</v>
      </c>
      <c r="K68" s="1008">
        <f t="shared" si="24"/>
        <v>0</v>
      </c>
    </row>
    <row r="69" spans="2:11" x14ac:dyDescent="0.2">
      <c r="B69" s="1058">
        <f t="shared" si="21"/>
        <v>1.05</v>
      </c>
      <c r="C69" s="1001" t="s">
        <v>902</v>
      </c>
      <c r="D69" s="435" t="s">
        <v>241</v>
      </c>
      <c r="E69" s="743">
        <v>0</v>
      </c>
      <c r="F69" s="1010">
        <f>+F20</f>
        <v>0</v>
      </c>
      <c r="G69" s="1011">
        <f t="shared" si="22"/>
        <v>0</v>
      </c>
      <c r="H69" s="1005">
        <v>0</v>
      </c>
      <c r="I69" s="1006">
        <f t="shared" si="23"/>
        <v>0</v>
      </c>
      <c r="J69" s="1007">
        <v>0</v>
      </c>
      <c r="K69" s="1008">
        <f t="shared" si="24"/>
        <v>0</v>
      </c>
    </row>
    <row r="70" spans="2:11" x14ac:dyDescent="0.2">
      <c r="B70" s="1058">
        <f t="shared" si="21"/>
        <v>1.06</v>
      </c>
      <c r="C70" s="1001" t="s">
        <v>936</v>
      </c>
      <c r="D70" s="435" t="s">
        <v>241</v>
      </c>
      <c r="E70" s="743">
        <v>1</v>
      </c>
      <c r="F70" s="1010"/>
      <c r="G70" s="1011">
        <f t="shared" si="22"/>
        <v>0</v>
      </c>
      <c r="H70" s="1005">
        <v>0</v>
      </c>
      <c r="I70" s="1006">
        <f t="shared" si="23"/>
        <v>0</v>
      </c>
      <c r="J70" s="1007">
        <v>0</v>
      </c>
      <c r="K70" s="1008">
        <f t="shared" si="24"/>
        <v>0</v>
      </c>
    </row>
    <row r="71" spans="2:11" x14ac:dyDescent="0.2">
      <c r="B71" s="1058">
        <f t="shared" si="21"/>
        <v>1.07</v>
      </c>
      <c r="C71" s="1001" t="s">
        <v>904</v>
      </c>
      <c r="D71" s="435" t="s">
        <v>60</v>
      </c>
      <c r="E71" s="743">
        <v>0</v>
      </c>
      <c r="F71" s="1010">
        <f>+F22</f>
        <v>0</v>
      </c>
      <c r="G71" s="1011">
        <f t="shared" si="22"/>
        <v>0</v>
      </c>
      <c r="H71" s="1005">
        <v>0</v>
      </c>
      <c r="I71" s="1006">
        <f t="shared" si="23"/>
        <v>0</v>
      </c>
      <c r="J71" s="1007">
        <v>0</v>
      </c>
      <c r="K71" s="1008">
        <f t="shared" si="24"/>
        <v>0</v>
      </c>
    </row>
    <row r="72" spans="2:11" ht="15" x14ac:dyDescent="0.2">
      <c r="B72" s="1058"/>
      <c r="C72" s="992"/>
      <c r="D72" s="993"/>
      <c r="E72" s="993"/>
      <c r="F72" s="1059" t="s">
        <v>655</v>
      </c>
      <c r="G72" s="1025">
        <f>SUM(G65:G71)</f>
        <v>0</v>
      </c>
      <c r="H72" s="1005"/>
      <c r="I72" s="1023">
        <f>+SUM(I65:I71)</f>
        <v>0</v>
      </c>
      <c r="J72" s="1007"/>
      <c r="K72" s="1024">
        <f>+SUM(K65:K71)</f>
        <v>0</v>
      </c>
    </row>
    <row r="73" spans="2:11" ht="15" x14ac:dyDescent="0.2">
      <c r="B73" s="1018">
        <v>2</v>
      </c>
      <c r="C73" s="992" t="s">
        <v>908</v>
      </c>
      <c r="D73" s="435"/>
      <c r="E73" s="435"/>
      <c r="F73" s="1010" t="s">
        <v>650</v>
      </c>
      <c r="G73" s="1011"/>
      <c r="H73" s="1005"/>
      <c r="I73" s="1006"/>
      <c r="J73" s="1007"/>
      <c r="K73" s="1008"/>
    </row>
    <row r="74" spans="2:11" x14ac:dyDescent="0.2">
      <c r="B74" s="1058">
        <f>B73+0.01</f>
        <v>2.0099999999999998</v>
      </c>
      <c r="C74" s="1012" t="s">
        <v>937</v>
      </c>
      <c r="D74" s="435" t="s">
        <v>172</v>
      </c>
      <c r="E74" s="743"/>
      <c r="F74" s="1010">
        <f>+F28</f>
        <v>0</v>
      </c>
      <c r="G74" s="1011">
        <f>ROUND(E74*F74,0)</f>
        <v>0</v>
      </c>
      <c r="H74" s="1005">
        <f>+'[1]memorias de calculo'!I157</f>
        <v>0</v>
      </c>
      <c r="I74" s="1006">
        <f>ROUND(+H74*F74,)</f>
        <v>0</v>
      </c>
      <c r="J74" s="1007">
        <v>19.810000000000002</v>
      </c>
      <c r="K74" s="1008">
        <f>ROUND(+J74*F74,)</f>
        <v>0</v>
      </c>
    </row>
    <row r="75" spans="2:11" ht="28.5" x14ac:dyDescent="0.2">
      <c r="B75" s="1058">
        <f t="shared" ref="B75:B79" si="25">B74+0.01</f>
        <v>2.0199999999999996</v>
      </c>
      <c r="C75" s="1012" t="s">
        <v>938</v>
      </c>
      <c r="D75" s="435" t="s">
        <v>172</v>
      </c>
      <c r="E75" s="743"/>
      <c r="F75" s="1010">
        <f>+F30</f>
        <v>0</v>
      </c>
      <c r="G75" s="1011">
        <f t="shared" ref="G75:G79" si="26">ROUND(E75*F75,0)</f>
        <v>0</v>
      </c>
      <c r="H75" s="1005">
        <v>0</v>
      </c>
      <c r="I75" s="1006">
        <f t="shared" ref="I75:I79" si="27">ROUND(+H75*F75,)</f>
        <v>0</v>
      </c>
      <c r="J75" s="1007">
        <v>0</v>
      </c>
      <c r="K75" s="1008">
        <f t="shared" ref="K75:K79" si="28">ROUND(+J75*F75,)</f>
        <v>0</v>
      </c>
    </row>
    <row r="76" spans="2:11" ht="28.5" x14ac:dyDescent="0.2">
      <c r="B76" s="1058">
        <f t="shared" si="25"/>
        <v>2.0299999999999994</v>
      </c>
      <c r="C76" s="1012" t="s">
        <v>939</v>
      </c>
      <c r="D76" s="435" t="s">
        <v>172</v>
      </c>
      <c r="E76" s="743"/>
      <c r="F76" s="1010">
        <f>+F31</f>
        <v>0</v>
      </c>
      <c r="G76" s="1011">
        <f t="shared" si="26"/>
        <v>0</v>
      </c>
      <c r="H76" s="1005">
        <f>+'[1]memorias de calculo'!I167</f>
        <v>0</v>
      </c>
      <c r="I76" s="1006">
        <f t="shared" si="27"/>
        <v>0</v>
      </c>
      <c r="J76" s="1007">
        <v>5</v>
      </c>
      <c r="K76" s="1008">
        <f t="shared" si="28"/>
        <v>0</v>
      </c>
    </row>
    <row r="77" spans="2:11" ht="28.5" x14ac:dyDescent="0.2">
      <c r="B77" s="1058">
        <f t="shared" si="25"/>
        <v>2.0399999999999991</v>
      </c>
      <c r="C77" s="1012" t="s">
        <v>940</v>
      </c>
      <c r="D77" s="435" t="s">
        <v>172</v>
      </c>
      <c r="E77" s="743"/>
      <c r="F77" s="1010">
        <f>+F33</f>
        <v>0</v>
      </c>
      <c r="G77" s="1011">
        <f t="shared" si="26"/>
        <v>0</v>
      </c>
      <c r="H77" s="1005">
        <v>0</v>
      </c>
      <c r="I77" s="1006">
        <f t="shared" si="27"/>
        <v>0</v>
      </c>
      <c r="J77" s="1007">
        <v>0</v>
      </c>
      <c r="K77" s="1008">
        <f t="shared" si="28"/>
        <v>0</v>
      </c>
    </row>
    <row r="78" spans="2:11" ht="28.5" x14ac:dyDescent="0.2">
      <c r="B78" s="1058">
        <f t="shared" si="25"/>
        <v>2.0499999999999989</v>
      </c>
      <c r="C78" s="1012" t="s">
        <v>941</v>
      </c>
      <c r="D78" s="435" t="s">
        <v>172</v>
      </c>
      <c r="E78" s="743"/>
      <c r="F78" s="1010"/>
      <c r="G78" s="1011">
        <f t="shared" si="26"/>
        <v>0</v>
      </c>
      <c r="H78" s="1005">
        <f>+'[1]memorias de calculo'!I175</f>
        <v>0</v>
      </c>
      <c r="I78" s="1006">
        <f t="shared" si="27"/>
        <v>0</v>
      </c>
      <c r="J78" s="1007">
        <v>8.02</v>
      </c>
      <c r="K78" s="1008">
        <f t="shared" si="28"/>
        <v>0</v>
      </c>
    </row>
    <row r="79" spans="2:11" ht="28.5" x14ac:dyDescent="0.2">
      <c r="B79" s="1058">
        <f t="shared" si="25"/>
        <v>2.0599999999999987</v>
      </c>
      <c r="C79" s="1012" t="s">
        <v>942</v>
      </c>
      <c r="D79" s="435" t="s">
        <v>172</v>
      </c>
      <c r="E79" s="743"/>
      <c r="F79" s="1010">
        <f>+F34</f>
        <v>0</v>
      </c>
      <c r="G79" s="1011">
        <f t="shared" si="26"/>
        <v>0</v>
      </c>
      <c r="H79" s="1005">
        <f>+'[1]memorias de calculo'!I184</f>
        <v>0</v>
      </c>
      <c r="I79" s="1006">
        <f t="shared" si="27"/>
        <v>0</v>
      </c>
      <c r="J79" s="1007">
        <v>19.809999999999999</v>
      </c>
      <c r="K79" s="1008">
        <f t="shared" si="28"/>
        <v>0</v>
      </c>
    </row>
    <row r="80" spans="2:11" ht="15" x14ac:dyDescent="0.2">
      <c r="B80" s="1058"/>
      <c r="C80" s="1019"/>
      <c r="D80" s="993"/>
      <c r="E80" s="993"/>
      <c r="F80" s="1059" t="s">
        <v>943</v>
      </c>
      <c r="G80" s="1025">
        <f>SUM(G74:G79)</f>
        <v>0</v>
      </c>
      <c r="H80" s="1005"/>
      <c r="I80" s="1023">
        <f>+SUM(I74:I79)</f>
        <v>0</v>
      </c>
      <c r="J80" s="1007"/>
      <c r="K80" s="1024">
        <f>+SUM(K74:K79)</f>
        <v>0</v>
      </c>
    </row>
    <row r="81" spans="2:11" ht="15" x14ac:dyDescent="0.2">
      <c r="B81" s="1018">
        <v>3</v>
      </c>
      <c r="C81" s="1019" t="s">
        <v>660</v>
      </c>
      <c r="D81" s="435"/>
      <c r="E81" s="435"/>
      <c r="F81" s="1010" t="s">
        <v>650</v>
      </c>
      <c r="G81" s="1011"/>
      <c r="H81" s="1005"/>
      <c r="I81" s="1006"/>
      <c r="J81" s="1007"/>
      <c r="K81" s="1008"/>
    </row>
    <row r="82" spans="2:11" x14ac:dyDescent="0.2">
      <c r="B82" s="1058">
        <f>B81+0.01</f>
        <v>3.01</v>
      </c>
      <c r="C82" s="1012" t="s">
        <v>663</v>
      </c>
      <c r="D82" s="435" t="s">
        <v>172</v>
      </c>
      <c r="E82" s="743"/>
      <c r="F82" s="1010"/>
      <c r="G82" s="1011">
        <f>ROUND(E82*F82,0)</f>
        <v>0</v>
      </c>
      <c r="H82" s="1005">
        <v>0</v>
      </c>
      <c r="I82" s="1006">
        <f>+H82*F82</f>
        <v>0</v>
      </c>
      <c r="J82" s="1007">
        <v>0</v>
      </c>
      <c r="K82" s="1008">
        <f t="shared" ref="K82:K85" si="29">ROUND(+J82*F82,)</f>
        <v>0</v>
      </c>
    </row>
    <row r="83" spans="2:11" ht="15.75" customHeight="1" x14ac:dyDescent="0.2">
      <c r="B83" s="1058">
        <f t="shared" ref="B83:B85" si="30">B82+0.01</f>
        <v>3.0199999999999996</v>
      </c>
      <c r="C83" s="1012" t="s">
        <v>944</v>
      </c>
      <c r="D83" s="435" t="s">
        <v>172</v>
      </c>
      <c r="E83" s="743"/>
      <c r="F83" s="1010"/>
      <c r="G83" s="1011">
        <f t="shared" ref="G83:G85" si="31">ROUND(E83*F83,0)</f>
        <v>0</v>
      </c>
      <c r="H83" s="1005">
        <v>0</v>
      </c>
      <c r="I83" s="1006">
        <f t="shared" ref="I83:I85" si="32">+H83*F83</f>
        <v>0</v>
      </c>
      <c r="J83" s="1007">
        <v>0</v>
      </c>
      <c r="K83" s="1008">
        <f t="shared" si="29"/>
        <v>0</v>
      </c>
    </row>
    <row r="84" spans="2:11" ht="22.5" customHeight="1" x14ac:dyDescent="0.2">
      <c r="B84" s="1058">
        <f t="shared" si="30"/>
        <v>3.0299999999999994</v>
      </c>
      <c r="C84" s="1012" t="s">
        <v>945</v>
      </c>
      <c r="D84" s="435" t="s">
        <v>216</v>
      </c>
      <c r="E84" s="743">
        <v>0</v>
      </c>
      <c r="F84" s="1010">
        <f>+F40</f>
        <v>0</v>
      </c>
      <c r="G84" s="1011">
        <f t="shared" si="31"/>
        <v>0</v>
      </c>
      <c r="H84" s="1005">
        <v>0</v>
      </c>
      <c r="I84" s="1006">
        <f t="shared" si="32"/>
        <v>0</v>
      </c>
      <c r="J84" s="1007">
        <v>0</v>
      </c>
      <c r="K84" s="1008">
        <f t="shared" si="29"/>
        <v>0</v>
      </c>
    </row>
    <row r="85" spans="2:11" ht="28.5" x14ac:dyDescent="0.2">
      <c r="B85" s="1058">
        <f t="shared" si="30"/>
        <v>3.0399999999999991</v>
      </c>
      <c r="C85" s="1012" t="s">
        <v>946</v>
      </c>
      <c r="D85" s="435" t="s">
        <v>241</v>
      </c>
      <c r="E85" s="743"/>
      <c r="F85" s="1010"/>
      <c r="G85" s="1011">
        <f t="shared" si="31"/>
        <v>0</v>
      </c>
      <c r="H85" s="1005">
        <v>0</v>
      </c>
      <c r="I85" s="1006">
        <f t="shared" si="32"/>
        <v>0</v>
      </c>
      <c r="J85" s="1007">
        <v>0</v>
      </c>
      <c r="K85" s="1008">
        <f t="shared" si="29"/>
        <v>0</v>
      </c>
    </row>
    <row r="86" spans="2:11" ht="15" x14ac:dyDescent="0.2">
      <c r="B86" s="1058"/>
      <c r="C86" s="1019"/>
      <c r="D86" s="993"/>
      <c r="E86" s="993"/>
      <c r="F86" s="1059" t="s">
        <v>655</v>
      </c>
      <c r="G86" s="1025">
        <f>SUM(G82:G85)</f>
        <v>0</v>
      </c>
      <c r="H86" s="1005"/>
      <c r="I86" s="1023">
        <f>+SUM(I82:I85)</f>
        <v>0</v>
      </c>
      <c r="J86" s="1007"/>
      <c r="K86" s="1024">
        <v>0</v>
      </c>
    </row>
    <row r="87" spans="2:11" ht="30" x14ac:dyDescent="0.2">
      <c r="B87" s="1018">
        <v>4</v>
      </c>
      <c r="C87" s="1019" t="s">
        <v>664</v>
      </c>
      <c r="D87" s="435"/>
      <c r="E87" s="435"/>
      <c r="F87" s="1010" t="s">
        <v>650</v>
      </c>
      <c r="G87" s="1011"/>
      <c r="H87" s="1005"/>
      <c r="I87" s="1006"/>
      <c r="J87" s="1007"/>
      <c r="K87" s="1008"/>
    </row>
    <row r="88" spans="2:11" ht="15.75" customHeight="1" x14ac:dyDescent="0.2">
      <c r="B88" s="1058">
        <f>B87+0.01</f>
        <v>4.01</v>
      </c>
      <c r="C88" s="1060" t="s">
        <v>947</v>
      </c>
      <c r="D88" s="435" t="s">
        <v>241</v>
      </c>
      <c r="E88" s="743"/>
      <c r="F88" s="1010"/>
      <c r="G88" s="1011">
        <f>ROUND(E88*F88,0)</f>
        <v>0</v>
      </c>
      <c r="H88" s="1005">
        <v>0</v>
      </c>
      <c r="I88" s="1006">
        <f>+H88*F88</f>
        <v>0</v>
      </c>
      <c r="J88" s="1007">
        <v>0</v>
      </c>
      <c r="K88" s="1008">
        <f t="shared" ref="K88:K92" si="33">ROUND(+J88*F88,)</f>
        <v>0</v>
      </c>
    </row>
    <row r="89" spans="2:11" ht="15.75" customHeight="1" x14ac:dyDescent="0.2">
      <c r="B89" s="1058">
        <f t="shared" ref="B89:B92" si="34">B88+0.01</f>
        <v>4.0199999999999996</v>
      </c>
      <c r="C89" s="1060" t="s">
        <v>667</v>
      </c>
      <c r="D89" s="435" t="s">
        <v>241</v>
      </c>
      <c r="E89" s="743"/>
      <c r="F89" s="1010"/>
      <c r="G89" s="1011">
        <f t="shared" ref="G89:G92" si="35">ROUND(E89*F89,0)</f>
        <v>0</v>
      </c>
      <c r="H89" s="1005">
        <v>0</v>
      </c>
      <c r="I89" s="1006">
        <f t="shared" ref="I89:I91" si="36">+H89*F89</f>
        <v>0</v>
      </c>
      <c r="J89" s="1007">
        <v>0</v>
      </c>
      <c r="K89" s="1008">
        <f t="shared" si="33"/>
        <v>0</v>
      </c>
    </row>
    <row r="90" spans="2:11" x14ac:dyDescent="0.2">
      <c r="B90" s="1058">
        <f t="shared" si="34"/>
        <v>4.0299999999999994</v>
      </c>
      <c r="C90" s="1060" t="s">
        <v>948</v>
      </c>
      <c r="D90" s="435" t="s">
        <v>241</v>
      </c>
      <c r="E90" s="743"/>
      <c r="F90" s="1010"/>
      <c r="G90" s="1011">
        <f t="shared" si="35"/>
        <v>0</v>
      </c>
      <c r="H90" s="1005">
        <v>0</v>
      </c>
      <c r="I90" s="1006">
        <f t="shared" si="36"/>
        <v>0</v>
      </c>
      <c r="J90" s="1007">
        <v>0</v>
      </c>
      <c r="K90" s="1008">
        <f t="shared" si="33"/>
        <v>0</v>
      </c>
    </row>
    <row r="91" spans="2:11" ht="15.75" customHeight="1" x14ac:dyDescent="0.2">
      <c r="B91" s="1058">
        <f t="shared" si="34"/>
        <v>4.0399999999999991</v>
      </c>
      <c r="C91" s="1060" t="s">
        <v>949</v>
      </c>
      <c r="D91" s="435" t="s">
        <v>60</v>
      </c>
      <c r="E91" s="743"/>
      <c r="F91" s="1010"/>
      <c r="G91" s="1011">
        <f t="shared" si="35"/>
        <v>0</v>
      </c>
      <c r="H91" s="1005">
        <f>+'[1]memorias de calculo'!I200</f>
        <v>0</v>
      </c>
      <c r="I91" s="1006">
        <f t="shared" si="36"/>
        <v>0</v>
      </c>
      <c r="J91" s="1007">
        <v>40</v>
      </c>
      <c r="K91" s="1008">
        <f t="shared" si="33"/>
        <v>0</v>
      </c>
    </row>
    <row r="92" spans="2:11" ht="42.75" x14ac:dyDescent="0.2">
      <c r="B92" s="1058">
        <f t="shared" si="34"/>
        <v>4.0499999999999989</v>
      </c>
      <c r="C92" s="1060" t="s">
        <v>950</v>
      </c>
      <c r="D92" s="435" t="s">
        <v>241</v>
      </c>
      <c r="E92" s="743"/>
      <c r="F92" s="1010"/>
      <c r="G92" s="1011">
        <f t="shared" si="35"/>
        <v>0</v>
      </c>
      <c r="H92" s="1005">
        <f>+'[1]memorias de calculo'!I201</f>
        <v>0</v>
      </c>
      <c r="I92" s="1006">
        <f>ROUND(+H92*F92,)</f>
        <v>0</v>
      </c>
      <c r="J92" s="1007">
        <v>10</v>
      </c>
      <c r="K92" s="1008">
        <f t="shared" si="33"/>
        <v>0</v>
      </c>
    </row>
    <row r="93" spans="2:11" ht="15" x14ac:dyDescent="0.2">
      <c r="B93" s="1058"/>
      <c r="C93" s="1019"/>
      <c r="D93" s="993"/>
      <c r="E93" s="993"/>
      <c r="F93" s="1059" t="s">
        <v>655</v>
      </c>
      <c r="G93" s="1025">
        <f>SUM(G88:G92)</f>
        <v>0</v>
      </c>
      <c r="H93" s="1005"/>
      <c r="I93" s="1023">
        <f>+SUM(I88:I92)</f>
        <v>0</v>
      </c>
      <c r="J93" s="1007"/>
      <c r="K93" s="1024">
        <f>+SUM(K88:K92)</f>
        <v>0</v>
      </c>
    </row>
    <row r="94" spans="2:11" ht="15" x14ac:dyDescent="0.2">
      <c r="B94" s="1018">
        <v>5</v>
      </c>
      <c r="C94" s="1019" t="s">
        <v>924</v>
      </c>
      <c r="D94" s="993"/>
      <c r="E94" s="993"/>
      <c r="F94" s="1010"/>
      <c r="G94" s="1025"/>
      <c r="H94" s="1005"/>
      <c r="I94" s="1006"/>
      <c r="J94" s="1007"/>
      <c r="K94" s="1008"/>
    </row>
    <row r="95" spans="2:11" x14ac:dyDescent="0.2">
      <c r="B95" s="1058">
        <f t="shared" ref="B95:B97" si="37">B94+0.01</f>
        <v>5.01</v>
      </c>
      <c r="C95" s="1012" t="s">
        <v>925</v>
      </c>
      <c r="D95" s="435" t="s">
        <v>241</v>
      </c>
      <c r="E95" s="743">
        <v>0</v>
      </c>
      <c r="F95" s="1010">
        <f>+F52</f>
        <v>0</v>
      </c>
      <c r="G95" s="1011">
        <f t="shared" ref="G95:G97" si="38">ROUND(E95*F95,0)</f>
        <v>0</v>
      </c>
      <c r="H95" s="1005">
        <v>0</v>
      </c>
      <c r="I95" s="1006">
        <f>+H95*F95</f>
        <v>0</v>
      </c>
      <c r="J95" s="1007">
        <v>0</v>
      </c>
      <c r="K95" s="1008">
        <f t="shared" ref="K95:K97" si="39">ROUND(+J95*F95,)</f>
        <v>0</v>
      </c>
    </row>
    <row r="96" spans="2:11" x14ac:dyDescent="0.2">
      <c r="B96" s="1058">
        <f t="shared" si="37"/>
        <v>5.0199999999999996</v>
      </c>
      <c r="C96" s="1012" t="s">
        <v>926</v>
      </c>
      <c r="D96" s="435" t="s">
        <v>241</v>
      </c>
      <c r="E96" s="743">
        <v>0</v>
      </c>
      <c r="F96" s="1010">
        <f>+F53</f>
        <v>0</v>
      </c>
      <c r="G96" s="1011">
        <f t="shared" si="38"/>
        <v>0</v>
      </c>
      <c r="H96" s="1005">
        <v>0</v>
      </c>
      <c r="I96" s="1006">
        <f t="shared" ref="I96:I97" si="40">+H96*F96</f>
        <v>0</v>
      </c>
      <c r="J96" s="1007">
        <v>0</v>
      </c>
      <c r="K96" s="1008">
        <f t="shared" si="39"/>
        <v>0</v>
      </c>
    </row>
    <row r="97" spans="2:11" x14ac:dyDescent="0.2">
      <c r="B97" s="1058">
        <f t="shared" si="37"/>
        <v>5.0299999999999994</v>
      </c>
      <c r="C97" s="1012" t="s">
        <v>927</v>
      </c>
      <c r="D97" s="435" t="s">
        <v>241</v>
      </c>
      <c r="E97" s="743">
        <v>0</v>
      </c>
      <c r="F97" s="1010">
        <f>+F54</f>
        <v>0</v>
      </c>
      <c r="G97" s="1011">
        <f t="shared" si="38"/>
        <v>0</v>
      </c>
      <c r="H97" s="1005">
        <v>0</v>
      </c>
      <c r="I97" s="1006">
        <f t="shared" si="40"/>
        <v>0</v>
      </c>
      <c r="J97" s="1007">
        <v>0</v>
      </c>
      <c r="K97" s="1008">
        <f t="shared" si="39"/>
        <v>0</v>
      </c>
    </row>
    <row r="98" spans="2:11" ht="15" x14ac:dyDescent="0.2">
      <c r="B98" s="1058"/>
      <c r="C98" s="1012"/>
      <c r="D98" s="993"/>
      <c r="E98" s="993"/>
      <c r="F98" s="1014" t="s">
        <v>655</v>
      </c>
      <c r="G98" s="1025">
        <f>SUM(G95:G97)</f>
        <v>0</v>
      </c>
      <c r="H98" s="1005"/>
      <c r="I98" s="1023">
        <f>+SUM(I95:I97)</f>
        <v>0</v>
      </c>
      <c r="J98" s="1007"/>
      <c r="K98" s="1024">
        <f>+SUM(K95:K97)</f>
        <v>0</v>
      </c>
    </row>
    <row r="99" spans="2:11" ht="15" x14ac:dyDescent="0.2">
      <c r="B99" s="1018">
        <v>6</v>
      </c>
      <c r="C99" s="1061" t="s">
        <v>951</v>
      </c>
      <c r="D99" s="435"/>
      <c r="E99" s="435"/>
      <c r="F99" s="1010" t="s">
        <v>650</v>
      </c>
      <c r="G99" s="1011"/>
      <c r="H99" s="1005"/>
      <c r="I99" s="1006"/>
      <c r="J99" s="1007"/>
      <c r="K99" s="1008"/>
    </row>
    <row r="100" spans="2:11" x14ac:dyDescent="0.2">
      <c r="B100" s="1058">
        <f t="shared" ref="B100" si="41">B99+0.1</f>
        <v>6.1</v>
      </c>
      <c r="C100" s="1012" t="s">
        <v>923</v>
      </c>
      <c r="D100" s="435" t="s">
        <v>689</v>
      </c>
      <c r="E100" s="743">
        <v>0</v>
      </c>
      <c r="F100" s="1010">
        <f>+F49</f>
        <v>0</v>
      </c>
      <c r="G100" s="1011">
        <f>ROUND(E100*F100,0)</f>
        <v>0</v>
      </c>
      <c r="H100" s="1005">
        <v>0</v>
      </c>
      <c r="I100" s="1006">
        <f>+H100*F100</f>
        <v>0</v>
      </c>
      <c r="J100" s="1007">
        <v>0</v>
      </c>
      <c r="K100" s="1008">
        <v>0</v>
      </c>
    </row>
    <row r="101" spans="2:11" x14ac:dyDescent="0.2">
      <c r="B101" s="1058">
        <f>B100+0.1</f>
        <v>6.1999999999999993</v>
      </c>
      <c r="C101" s="1012" t="s">
        <v>952</v>
      </c>
      <c r="D101" s="435" t="s">
        <v>60</v>
      </c>
      <c r="E101" s="743">
        <v>0</v>
      </c>
      <c r="F101" s="1010"/>
      <c r="G101" s="1011">
        <f>ROUND(E101*F101,0)</f>
        <v>0</v>
      </c>
      <c r="H101" s="1005">
        <v>0</v>
      </c>
      <c r="I101" s="1006">
        <f t="shared" ref="I101:I103" si="42">+H101*F101</f>
        <v>0</v>
      </c>
      <c r="J101" s="1007">
        <v>0</v>
      </c>
      <c r="K101" s="1008">
        <v>0</v>
      </c>
    </row>
    <row r="102" spans="2:11" x14ac:dyDescent="0.2">
      <c r="B102" s="1058">
        <f t="shared" ref="B102:B103" si="43">B101+0.1</f>
        <v>6.2999999999999989</v>
      </c>
      <c r="C102" s="1012" t="s">
        <v>953</v>
      </c>
      <c r="D102" s="435" t="s">
        <v>689</v>
      </c>
      <c r="E102" s="743">
        <v>1</v>
      </c>
      <c r="F102" s="1010"/>
      <c r="G102" s="1011">
        <f t="shared" ref="G102:G103" si="44">ROUND(E102*F102,0)</f>
        <v>0</v>
      </c>
      <c r="H102" s="1005">
        <v>0</v>
      </c>
      <c r="I102" s="1006">
        <f t="shared" si="42"/>
        <v>0</v>
      </c>
      <c r="J102" s="1007">
        <v>0</v>
      </c>
      <c r="K102" s="1008">
        <v>0</v>
      </c>
    </row>
    <row r="103" spans="2:11" x14ac:dyDescent="0.2">
      <c r="B103" s="1058">
        <f t="shared" si="43"/>
        <v>6.3999999999999986</v>
      </c>
      <c r="C103" s="1012" t="s">
        <v>954</v>
      </c>
      <c r="D103" s="435" t="s">
        <v>689</v>
      </c>
      <c r="E103" s="743">
        <v>1</v>
      </c>
      <c r="F103" s="1010"/>
      <c r="G103" s="1011">
        <f t="shared" si="44"/>
        <v>0</v>
      </c>
      <c r="H103" s="1005">
        <v>0</v>
      </c>
      <c r="I103" s="1006">
        <f t="shared" si="42"/>
        <v>0</v>
      </c>
      <c r="J103" s="1007">
        <v>0</v>
      </c>
      <c r="K103" s="1008">
        <v>0</v>
      </c>
    </row>
    <row r="104" spans="2:11" ht="15" x14ac:dyDescent="0.2">
      <c r="B104" s="1058"/>
      <c r="C104" s="1019"/>
      <c r="D104" s="993"/>
      <c r="E104" s="993"/>
      <c r="F104" s="1062" t="s">
        <v>943</v>
      </c>
      <c r="G104" s="1025">
        <f>SUM(G100:G103)</f>
        <v>0</v>
      </c>
      <c r="H104" s="1005"/>
      <c r="I104" s="1023">
        <f>+SUM(I100:I103)</f>
        <v>0</v>
      </c>
      <c r="J104" s="1007"/>
      <c r="K104" s="1024">
        <f>+SUM(K100:K103)</f>
        <v>0</v>
      </c>
    </row>
    <row r="105" spans="2:11" ht="15" x14ac:dyDescent="0.2">
      <c r="B105" s="1063"/>
      <c r="C105" s="1064"/>
      <c r="D105" s="1065" t="s">
        <v>955</v>
      </c>
      <c r="E105" s="1065"/>
      <c r="F105" s="1065"/>
      <c r="G105" s="1025">
        <f>G72+G80+G86+G93+G98+G104</f>
        <v>0</v>
      </c>
      <c r="H105" s="1005"/>
      <c r="I105" s="1066">
        <f>I72+I80+I86+I93+I98+I104</f>
        <v>0</v>
      </c>
      <c r="J105" s="1007"/>
      <c r="K105" s="1067">
        <f>+SUM(K104+K98+K93+K86+K80+K72)</f>
        <v>0</v>
      </c>
    </row>
    <row r="106" spans="2:11" ht="15.75" customHeight="1" x14ac:dyDescent="0.2">
      <c r="B106" s="1063"/>
      <c r="C106" s="1001"/>
      <c r="D106" s="632" t="s">
        <v>928</v>
      </c>
      <c r="E106" s="632"/>
      <c r="F106" s="1068">
        <v>0.28000000000000003</v>
      </c>
      <c r="G106" s="1011">
        <f>ROUND(G105*F106,0)</f>
        <v>0</v>
      </c>
      <c r="H106" s="1005"/>
      <c r="I106" s="1069">
        <f>ROUND(I105*F106,0)</f>
        <v>0</v>
      </c>
      <c r="J106" s="1007"/>
      <c r="K106" s="1070">
        <f>ROUND(K105*F106,0)</f>
        <v>0</v>
      </c>
    </row>
    <row r="107" spans="2:11" x14ac:dyDescent="0.2">
      <c r="B107" s="1063"/>
      <c r="C107" s="1001"/>
      <c r="D107" s="632" t="s">
        <v>929</v>
      </c>
      <c r="E107" s="632"/>
      <c r="F107" s="1068">
        <v>0.02</v>
      </c>
      <c r="G107" s="1011">
        <f>ROUND(G105*F107,0)</f>
        <v>0</v>
      </c>
      <c r="H107" s="1005"/>
      <c r="I107" s="1069">
        <f>ROUND(I105*F107,0)</f>
        <v>0</v>
      </c>
      <c r="J107" s="1007"/>
      <c r="K107" s="1070">
        <f>ROUND(K105*F107,0)</f>
        <v>0</v>
      </c>
    </row>
    <row r="108" spans="2:11" ht="15" thickBot="1" x14ac:dyDescent="0.25">
      <c r="B108" s="1071"/>
      <c r="C108" s="1072"/>
      <c r="D108" s="1073" t="s">
        <v>786</v>
      </c>
      <c r="E108" s="1073"/>
      <c r="F108" s="1074">
        <v>0.05</v>
      </c>
      <c r="G108" s="1075">
        <f>ROUND(G105*F108,0)</f>
        <v>0</v>
      </c>
      <c r="H108" s="1076"/>
      <c r="I108" s="1077">
        <f>ROUND(I105*F108,0)</f>
        <v>0</v>
      </c>
      <c r="J108" s="1078"/>
      <c r="K108" s="1070">
        <f>ROUND(K105*F108,0)</f>
        <v>0</v>
      </c>
    </row>
    <row r="109" spans="2:11" ht="15.75" thickBot="1" x14ac:dyDescent="0.25">
      <c r="B109" s="1071"/>
      <c r="C109" s="1079"/>
      <c r="D109" s="1080" t="s">
        <v>956</v>
      </c>
      <c r="E109" s="980"/>
      <c r="F109" s="981"/>
      <c r="G109" s="1081">
        <f>SUM(G105:G108)</f>
        <v>0</v>
      </c>
      <c r="H109" s="1082"/>
      <c r="I109" s="1083">
        <f>+SUM(I105:I108)</f>
        <v>0</v>
      </c>
      <c r="J109" s="1084"/>
      <c r="K109" s="1085">
        <f>+K105+K106+K107+K108</f>
        <v>0</v>
      </c>
    </row>
    <row r="110" spans="2:11" ht="20.25" customHeight="1" thickBot="1" x14ac:dyDescent="0.3">
      <c r="B110" s="1086" t="s">
        <v>957</v>
      </c>
      <c r="C110" s="1086"/>
      <c r="D110" s="1086"/>
      <c r="E110" s="1086"/>
      <c r="F110" s="1086"/>
      <c r="G110" s="1085">
        <f>G60+G109</f>
        <v>0</v>
      </c>
      <c r="H110" s="1087"/>
      <c r="I110" s="1088">
        <f>+I109+I60</f>
        <v>0</v>
      </c>
      <c r="J110" s="1089"/>
      <c r="K110" s="1090">
        <f>+K109+K60</f>
        <v>0</v>
      </c>
    </row>
  </sheetData>
  <mergeCells count="34">
    <mergeCell ref="J11:K13"/>
    <mergeCell ref="D11:G11"/>
    <mergeCell ref="D13:G13"/>
    <mergeCell ref="D12:G12"/>
    <mergeCell ref="H11:I13"/>
    <mergeCell ref="B6:C8"/>
    <mergeCell ref="D6:H8"/>
    <mergeCell ref="B9:C10"/>
    <mergeCell ref="D9:K10"/>
    <mergeCell ref="B110:F110"/>
    <mergeCell ref="D58:E58"/>
    <mergeCell ref="D59:E59"/>
    <mergeCell ref="D60:F60"/>
    <mergeCell ref="B61:K61"/>
    <mergeCell ref="B62:C62"/>
    <mergeCell ref="D62:G62"/>
    <mergeCell ref="H62:I62"/>
    <mergeCell ref="J62:K62"/>
    <mergeCell ref="D105:F105"/>
    <mergeCell ref="D106:E106"/>
    <mergeCell ref="D107:E107"/>
    <mergeCell ref="D108:E108"/>
    <mergeCell ref="D109:F109"/>
    <mergeCell ref="D57:E57"/>
    <mergeCell ref="B14:K14"/>
    <mergeCell ref="B15:K15"/>
    <mergeCell ref="B16:C16"/>
    <mergeCell ref="D16:G16"/>
    <mergeCell ref="H16:I16"/>
    <mergeCell ref="J16:K16"/>
    <mergeCell ref="D56:F56"/>
    <mergeCell ref="I6:K6"/>
    <mergeCell ref="I7:K7"/>
    <mergeCell ref="I8:K8"/>
  </mergeCells>
  <pageMargins left="0.7" right="0.7" top="0.75" bottom="0.75" header="0.3" footer="0.3"/>
  <drawing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3:Q522"/>
  <sheetViews>
    <sheetView view="pageBreakPreview" topLeftCell="A140" zoomScale="40" zoomScaleNormal="60" zoomScaleSheetLayoutView="40" workbookViewId="0">
      <selection activeCell="I227" sqref="I227"/>
    </sheetView>
  </sheetViews>
  <sheetFormatPr baseColWidth="10" defaultRowHeight="15.75" x14ac:dyDescent="0.25"/>
  <cols>
    <col min="1" max="1" width="11.42578125" style="280"/>
    <col min="2" max="2" width="55" style="281" customWidth="1"/>
    <col min="3" max="3" width="17.140625" style="282" customWidth="1"/>
    <col min="4" max="4" width="13.7109375" style="282" customWidth="1"/>
    <col min="5" max="5" width="15.28515625" style="282" bestFit="1" customWidth="1"/>
    <col min="6" max="6" width="22" style="283" bestFit="1" customWidth="1"/>
    <col min="7" max="7" width="15" style="282" customWidth="1"/>
    <col min="8" max="8" width="11.7109375" style="282" bestFit="1" customWidth="1"/>
    <col min="9" max="9" width="9.85546875" style="280" bestFit="1" customWidth="1"/>
    <col min="10" max="10" width="14.140625" style="280" customWidth="1"/>
    <col min="11" max="12" width="11.42578125" style="280"/>
    <col min="13" max="13" width="13.42578125" style="280" customWidth="1"/>
    <col min="14" max="235" width="11.42578125" style="280"/>
    <col min="236" max="236" width="8.7109375" style="280" customWidth="1"/>
    <col min="237" max="237" width="22.28515625" style="280" customWidth="1"/>
    <col min="238" max="238" width="9.7109375" style="280" customWidth="1"/>
    <col min="239" max="240" width="11.42578125" style="280"/>
    <col min="241" max="241" width="13.85546875" style="280" customWidth="1"/>
    <col min="242" max="242" width="9.7109375" style="280" customWidth="1"/>
    <col min="243" max="243" width="8.5703125" style="280" customWidth="1"/>
    <col min="244" max="244" width="4.140625" style="280" customWidth="1"/>
    <col min="245" max="491" width="11.42578125" style="280"/>
    <col min="492" max="492" width="8.7109375" style="280" customWidth="1"/>
    <col min="493" max="493" width="22.28515625" style="280" customWidth="1"/>
    <col min="494" max="494" width="9.7109375" style="280" customWidth="1"/>
    <col min="495" max="496" width="11.42578125" style="280"/>
    <col min="497" max="497" width="13.85546875" style="280" customWidth="1"/>
    <col min="498" max="498" width="9.7109375" style="280" customWidth="1"/>
    <col min="499" max="499" width="8.5703125" style="280" customWidth="1"/>
    <col min="500" max="500" width="4.140625" style="280" customWidth="1"/>
    <col min="501" max="747" width="11.42578125" style="280"/>
    <col min="748" max="748" width="8.7109375" style="280" customWidth="1"/>
    <col min="749" max="749" width="22.28515625" style="280" customWidth="1"/>
    <col min="750" max="750" width="9.7109375" style="280" customWidth="1"/>
    <col min="751" max="752" width="11.42578125" style="280"/>
    <col min="753" max="753" width="13.85546875" style="280" customWidth="1"/>
    <col min="754" max="754" width="9.7109375" style="280" customWidth="1"/>
    <col min="755" max="755" width="8.5703125" style="280" customWidth="1"/>
    <col min="756" max="756" width="4.140625" style="280" customWidth="1"/>
    <col min="757" max="1003" width="11.42578125" style="280"/>
    <col min="1004" max="1004" width="8.7109375" style="280" customWidth="1"/>
    <col min="1005" max="1005" width="22.28515625" style="280" customWidth="1"/>
    <col min="1006" max="1006" width="9.7109375" style="280" customWidth="1"/>
    <col min="1007" max="1008" width="11.42578125" style="280"/>
    <col min="1009" max="1009" width="13.85546875" style="280" customWidth="1"/>
    <col min="1010" max="1010" width="9.7109375" style="280" customWidth="1"/>
    <col min="1011" max="1011" width="8.5703125" style="280" customWidth="1"/>
    <col min="1012" max="1012" width="4.140625" style="280" customWidth="1"/>
    <col min="1013" max="1259" width="11.42578125" style="280"/>
    <col min="1260" max="1260" width="8.7109375" style="280" customWidth="1"/>
    <col min="1261" max="1261" width="22.28515625" style="280" customWidth="1"/>
    <col min="1262" max="1262" width="9.7109375" style="280" customWidth="1"/>
    <col min="1263" max="1264" width="11.42578125" style="280"/>
    <col min="1265" max="1265" width="13.85546875" style="280" customWidth="1"/>
    <col min="1266" max="1266" width="9.7109375" style="280" customWidth="1"/>
    <col min="1267" max="1267" width="8.5703125" style="280" customWidth="1"/>
    <col min="1268" max="1268" width="4.140625" style="280" customWidth="1"/>
    <col min="1269" max="1515" width="11.42578125" style="280"/>
    <col min="1516" max="1516" width="8.7109375" style="280" customWidth="1"/>
    <col min="1517" max="1517" width="22.28515625" style="280" customWidth="1"/>
    <col min="1518" max="1518" width="9.7109375" style="280" customWidth="1"/>
    <col min="1519" max="1520" width="11.42578125" style="280"/>
    <col min="1521" max="1521" width="13.85546875" style="280" customWidth="1"/>
    <col min="1522" max="1522" width="9.7109375" style="280" customWidth="1"/>
    <col min="1523" max="1523" width="8.5703125" style="280" customWidth="1"/>
    <col min="1524" max="1524" width="4.140625" style="280" customWidth="1"/>
    <col min="1525" max="1771" width="11.42578125" style="280"/>
    <col min="1772" max="1772" width="8.7109375" style="280" customWidth="1"/>
    <col min="1773" max="1773" width="22.28515625" style="280" customWidth="1"/>
    <col min="1774" max="1774" width="9.7109375" style="280" customWidth="1"/>
    <col min="1775" max="1776" width="11.42578125" style="280"/>
    <col min="1777" max="1777" width="13.85546875" style="280" customWidth="1"/>
    <col min="1778" max="1778" width="9.7109375" style="280" customWidth="1"/>
    <col min="1779" max="1779" width="8.5703125" style="280" customWidth="1"/>
    <col min="1780" max="1780" width="4.140625" style="280" customWidth="1"/>
    <col min="1781" max="2027" width="11.42578125" style="280"/>
    <col min="2028" max="2028" width="8.7109375" style="280" customWidth="1"/>
    <col min="2029" max="2029" width="22.28515625" style="280" customWidth="1"/>
    <col min="2030" max="2030" width="9.7109375" style="280" customWidth="1"/>
    <col min="2031" max="2032" width="11.42578125" style="280"/>
    <col min="2033" max="2033" width="13.85546875" style="280" customWidth="1"/>
    <col min="2034" max="2034" width="9.7109375" style="280" customWidth="1"/>
    <col min="2035" max="2035" width="8.5703125" style="280" customWidth="1"/>
    <col min="2036" max="2036" width="4.140625" style="280" customWidth="1"/>
    <col min="2037" max="2283" width="11.42578125" style="280"/>
    <col min="2284" max="2284" width="8.7109375" style="280" customWidth="1"/>
    <col min="2285" max="2285" width="22.28515625" style="280" customWidth="1"/>
    <col min="2286" max="2286" width="9.7109375" style="280" customWidth="1"/>
    <col min="2287" max="2288" width="11.42578125" style="280"/>
    <col min="2289" max="2289" width="13.85546875" style="280" customWidth="1"/>
    <col min="2290" max="2290" width="9.7109375" style="280" customWidth="1"/>
    <col min="2291" max="2291" width="8.5703125" style="280" customWidth="1"/>
    <col min="2292" max="2292" width="4.140625" style="280" customWidth="1"/>
    <col min="2293" max="2539" width="11.42578125" style="280"/>
    <col min="2540" max="2540" width="8.7109375" style="280" customWidth="1"/>
    <col min="2541" max="2541" width="22.28515625" style="280" customWidth="1"/>
    <col min="2542" max="2542" width="9.7109375" style="280" customWidth="1"/>
    <col min="2543" max="2544" width="11.42578125" style="280"/>
    <col min="2545" max="2545" width="13.85546875" style="280" customWidth="1"/>
    <col min="2546" max="2546" width="9.7109375" style="280" customWidth="1"/>
    <col min="2547" max="2547" width="8.5703125" style="280" customWidth="1"/>
    <col min="2548" max="2548" width="4.140625" style="280" customWidth="1"/>
    <col min="2549" max="2795" width="11.42578125" style="280"/>
    <col min="2796" max="2796" width="8.7109375" style="280" customWidth="1"/>
    <col min="2797" max="2797" width="22.28515625" style="280" customWidth="1"/>
    <col min="2798" max="2798" width="9.7109375" style="280" customWidth="1"/>
    <col min="2799" max="2800" width="11.42578125" style="280"/>
    <col min="2801" max="2801" width="13.85546875" style="280" customWidth="1"/>
    <col min="2802" max="2802" width="9.7109375" style="280" customWidth="1"/>
    <col min="2803" max="2803" width="8.5703125" style="280" customWidth="1"/>
    <col min="2804" max="2804" width="4.140625" style="280" customWidth="1"/>
    <col min="2805" max="3051" width="11.42578125" style="280"/>
    <col min="3052" max="3052" width="8.7109375" style="280" customWidth="1"/>
    <col min="3053" max="3053" width="22.28515625" style="280" customWidth="1"/>
    <col min="3054" max="3054" width="9.7109375" style="280" customWidth="1"/>
    <col min="3055" max="3056" width="11.42578125" style="280"/>
    <col min="3057" max="3057" width="13.85546875" style="280" customWidth="1"/>
    <col min="3058" max="3058" width="9.7109375" style="280" customWidth="1"/>
    <col min="3059" max="3059" width="8.5703125" style="280" customWidth="1"/>
    <col min="3060" max="3060" width="4.140625" style="280" customWidth="1"/>
    <col min="3061" max="3307" width="11.42578125" style="280"/>
    <col min="3308" max="3308" width="8.7109375" style="280" customWidth="1"/>
    <col min="3309" max="3309" width="22.28515625" style="280" customWidth="1"/>
    <col min="3310" max="3310" width="9.7109375" style="280" customWidth="1"/>
    <col min="3311" max="3312" width="11.42578125" style="280"/>
    <col min="3313" max="3313" width="13.85546875" style="280" customWidth="1"/>
    <col min="3314" max="3314" width="9.7109375" style="280" customWidth="1"/>
    <col min="3315" max="3315" width="8.5703125" style="280" customWidth="1"/>
    <col min="3316" max="3316" width="4.140625" style="280" customWidth="1"/>
    <col min="3317" max="3563" width="11.42578125" style="280"/>
    <col min="3564" max="3564" width="8.7109375" style="280" customWidth="1"/>
    <col min="3565" max="3565" width="22.28515625" style="280" customWidth="1"/>
    <col min="3566" max="3566" width="9.7109375" style="280" customWidth="1"/>
    <col min="3567" max="3568" width="11.42578125" style="280"/>
    <col min="3569" max="3569" width="13.85546875" style="280" customWidth="1"/>
    <col min="3570" max="3570" width="9.7109375" style="280" customWidth="1"/>
    <col min="3571" max="3571" width="8.5703125" style="280" customWidth="1"/>
    <col min="3572" max="3572" width="4.140625" style="280" customWidth="1"/>
    <col min="3573" max="3819" width="11.42578125" style="280"/>
    <col min="3820" max="3820" width="8.7109375" style="280" customWidth="1"/>
    <col min="3821" max="3821" width="22.28515625" style="280" customWidth="1"/>
    <col min="3822" max="3822" width="9.7109375" style="280" customWidth="1"/>
    <col min="3823" max="3824" width="11.42578125" style="280"/>
    <col min="3825" max="3825" width="13.85546875" style="280" customWidth="1"/>
    <col min="3826" max="3826" width="9.7109375" style="280" customWidth="1"/>
    <col min="3827" max="3827" width="8.5703125" style="280" customWidth="1"/>
    <col min="3828" max="3828" width="4.140625" style="280" customWidth="1"/>
    <col min="3829" max="4075" width="11.42578125" style="280"/>
    <col min="4076" max="4076" width="8.7109375" style="280" customWidth="1"/>
    <col min="4077" max="4077" width="22.28515625" style="280" customWidth="1"/>
    <col min="4078" max="4078" width="9.7109375" style="280" customWidth="1"/>
    <col min="4079" max="4080" width="11.42578125" style="280"/>
    <col min="4081" max="4081" width="13.85546875" style="280" customWidth="1"/>
    <col min="4082" max="4082" width="9.7109375" style="280" customWidth="1"/>
    <col min="4083" max="4083" width="8.5703125" style="280" customWidth="1"/>
    <col min="4084" max="4084" width="4.140625" style="280" customWidth="1"/>
    <col min="4085" max="4331" width="11.42578125" style="280"/>
    <col min="4332" max="4332" width="8.7109375" style="280" customWidth="1"/>
    <col min="4333" max="4333" width="22.28515625" style="280" customWidth="1"/>
    <col min="4334" max="4334" width="9.7109375" style="280" customWidth="1"/>
    <col min="4335" max="4336" width="11.42578125" style="280"/>
    <col min="4337" max="4337" width="13.85546875" style="280" customWidth="1"/>
    <col min="4338" max="4338" width="9.7109375" style="280" customWidth="1"/>
    <col min="4339" max="4339" width="8.5703125" style="280" customWidth="1"/>
    <col min="4340" max="4340" width="4.140625" style="280" customWidth="1"/>
    <col min="4341" max="4587" width="11.42578125" style="280"/>
    <col min="4588" max="4588" width="8.7109375" style="280" customWidth="1"/>
    <col min="4589" max="4589" width="22.28515625" style="280" customWidth="1"/>
    <col min="4590" max="4590" width="9.7109375" style="280" customWidth="1"/>
    <col min="4591" max="4592" width="11.42578125" style="280"/>
    <col min="4593" max="4593" width="13.85546875" style="280" customWidth="1"/>
    <col min="4594" max="4594" width="9.7109375" style="280" customWidth="1"/>
    <col min="4595" max="4595" width="8.5703125" style="280" customWidth="1"/>
    <col min="4596" max="4596" width="4.140625" style="280" customWidth="1"/>
    <col min="4597" max="4843" width="11.42578125" style="280"/>
    <col min="4844" max="4844" width="8.7109375" style="280" customWidth="1"/>
    <col min="4845" max="4845" width="22.28515625" style="280" customWidth="1"/>
    <col min="4846" max="4846" width="9.7109375" style="280" customWidth="1"/>
    <col min="4847" max="4848" width="11.42578125" style="280"/>
    <col min="4849" max="4849" width="13.85546875" style="280" customWidth="1"/>
    <col min="4850" max="4850" width="9.7109375" style="280" customWidth="1"/>
    <col min="4851" max="4851" width="8.5703125" style="280" customWidth="1"/>
    <col min="4852" max="4852" width="4.140625" style="280" customWidth="1"/>
    <col min="4853" max="5099" width="11.42578125" style="280"/>
    <col min="5100" max="5100" width="8.7109375" style="280" customWidth="1"/>
    <col min="5101" max="5101" width="22.28515625" style="280" customWidth="1"/>
    <col min="5102" max="5102" width="9.7109375" style="280" customWidth="1"/>
    <col min="5103" max="5104" width="11.42578125" style="280"/>
    <col min="5105" max="5105" width="13.85546875" style="280" customWidth="1"/>
    <col min="5106" max="5106" width="9.7109375" style="280" customWidth="1"/>
    <col min="5107" max="5107" width="8.5703125" style="280" customWidth="1"/>
    <col min="5108" max="5108" width="4.140625" style="280" customWidth="1"/>
    <col min="5109" max="5355" width="11.42578125" style="280"/>
    <col min="5356" max="5356" width="8.7109375" style="280" customWidth="1"/>
    <col min="5357" max="5357" width="22.28515625" style="280" customWidth="1"/>
    <col min="5358" max="5358" width="9.7109375" style="280" customWidth="1"/>
    <col min="5359" max="5360" width="11.42578125" style="280"/>
    <col min="5361" max="5361" width="13.85546875" style="280" customWidth="1"/>
    <col min="5362" max="5362" width="9.7109375" style="280" customWidth="1"/>
    <col min="5363" max="5363" width="8.5703125" style="280" customWidth="1"/>
    <col min="5364" max="5364" width="4.140625" style="280" customWidth="1"/>
    <col min="5365" max="5611" width="11.42578125" style="280"/>
    <col min="5612" max="5612" width="8.7109375" style="280" customWidth="1"/>
    <col min="5613" max="5613" width="22.28515625" style="280" customWidth="1"/>
    <col min="5614" max="5614" width="9.7109375" style="280" customWidth="1"/>
    <col min="5615" max="5616" width="11.42578125" style="280"/>
    <col min="5617" max="5617" width="13.85546875" style="280" customWidth="1"/>
    <col min="5618" max="5618" width="9.7109375" style="280" customWidth="1"/>
    <col min="5619" max="5619" width="8.5703125" style="280" customWidth="1"/>
    <col min="5620" max="5620" width="4.140625" style="280" customWidth="1"/>
    <col min="5621" max="5867" width="11.42578125" style="280"/>
    <col min="5868" max="5868" width="8.7109375" style="280" customWidth="1"/>
    <col min="5869" max="5869" width="22.28515625" style="280" customWidth="1"/>
    <col min="5870" max="5870" width="9.7109375" style="280" customWidth="1"/>
    <col min="5871" max="5872" width="11.42578125" style="280"/>
    <col min="5873" max="5873" width="13.85546875" style="280" customWidth="1"/>
    <col min="5874" max="5874" width="9.7109375" style="280" customWidth="1"/>
    <col min="5875" max="5875" width="8.5703125" style="280" customWidth="1"/>
    <col min="5876" max="5876" width="4.140625" style="280" customWidth="1"/>
    <col min="5877" max="6123" width="11.42578125" style="280"/>
    <col min="6124" max="6124" width="8.7109375" style="280" customWidth="1"/>
    <col min="6125" max="6125" width="22.28515625" style="280" customWidth="1"/>
    <col min="6126" max="6126" width="9.7109375" style="280" customWidth="1"/>
    <col min="6127" max="6128" width="11.42578125" style="280"/>
    <col min="6129" max="6129" width="13.85546875" style="280" customWidth="1"/>
    <col min="6130" max="6130" width="9.7109375" style="280" customWidth="1"/>
    <col min="6131" max="6131" width="8.5703125" style="280" customWidth="1"/>
    <col min="6132" max="6132" width="4.140625" style="280" customWidth="1"/>
    <col min="6133" max="6379" width="11.42578125" style="280"/>
    <col min="6380" max="6380" width="8.7109375" style="280" customWidth="1"/>
    <col min="6381" max="6381" width="22.28515625" style="280" customWidth="1"/>
    <col min="6382" max="6382" width="9.7109375" style="280" customWidth="1"/>
    <col min="6383" max="6384" width="11.42578125" style="280"/>
    <col min="6385" max="6385" width="13.85546875" style="280" customWidth="1"/>
    <col min="6386" max="6386" width="9.7109375" style="280" customWidth="1"/>
    <col min="6387" max="6387" width="8.5703125" style="280" customWidth="1"/>
    <col min="6388" max="6388" width="4.140625" style="280" customWidth="1"/>
    <col min="6389" max="6635" width="11.42578125" style="280"/>
    <col min="6636" max="6636" width="8.7109375" style="280" customWidth="1"/>
    <col min="6637" max="6637" width="22.28515625" style="280" customWidth="1"/>
    <col min="6638" max="6638" width="9.7109375" style="280" customWidth="1"/>
    <col min="6639" max="6640" width="11.42578125" style="280"/>
    <col min="6641" max="6641" width="13.85546875" style="280" customWidth="1"/>
    <col min="6642" max="6642" width="9.7109375" style="280" customWidth="1"/>
    <col min="6643" max="6643" width="8.5703125" style="280" customWidth="1"/>
    <col min="6644" max="6644" width="4.140625" style="280" customWidth="1"/>
    <col min="6645" max="6891" width="11.42578125" style="280"/>
    <col min="6892" max="6892" width="8.7109375" style="280" customWidth="1"/>
    <col min="6893" max="6893" width="22.28515625" style="280" customWidth="1"/>
    <col min="6894" max="6894" width="9.7109375" style="280" customWidth="1"/>
    <col min="6895" max="6896" width="11.42578125" style="280"/>
    <col min="6897" max="6897" width="13.85546875" style="280" customWidth="1"/>
    <col min="6898" max="6898" width="9.7109375" style="280" customWidth="1"/>
    <col min="6899" max="6899" width="8.5703125" style="280" customWidth="1"/>
    <col min="6900" max="6900" width="4.140625" style="280" customWidth="1"/>
    <col min="6901" max="7147" width="11.42578125" style="280"/>
    <col min="7148" max="7148" width="8.7109375" style="280" customWidth="1"/>
    <col min="7149" max="7149" width="22.28515625" style="280" customWidth="1"/>
    <col min="7150" max="7150" width="9.7109375" style="280" customWidth="1"/>
    <col min="7151" max="7152" width="11.42578125" style="280"/>
    <col min="7153" max="7153" width="13.85546875" style="280" customWidth="1"/>
    <col min="7154" max="7154" width="9.7109375" style="280" customWidth="1"/>
    <col min="7155" max="7155" width="8.5703125" style="280" customWidth="1"/>
    <col min="7156" max="7156" width="4.140625" style="280" customWidth="1"/>
    <col min="7157" max="7403" width="11.42578125" style="280"/>
    <col min="7404" max="7404" width="8.7109375" style="280" customWidth="1"/>
    <col min="7405" max="7405" width="22.28515625" style="280" customWidth="1"/>
    <col min="7406" max="7406" width="9.7109375" style="280" customWidth="1"/>
    <col min="7407" max="7408" width="11.42578125" style="280"/>
    <col min="7409" max="7409" width="13.85546875" style="280" customWidth="1"/>
    <col min="7410" max="7410" width="9.7109375" style="280" customWidth="1"/>
    <col min="7411" max="7411" width="8.5703125" style="280" customWidth="1"/>
    <col min="7412" max="7412" width="4.140625" style="280" customWidth="1"/>
    <col min="7413" max="7659" width="11.42578125" style="280"/>
    <col min="7660" max="7660" width="8.7109375" style="280" customWidth="1"/>
    <col min="7661" max="7661" width="22.28515625" style="280" customWidth="1"/>
    <col min="7662" max="7662" width="9.7109375" style="280" customWidth="1"/>
    <col min="7663" max="7664" width="11.42578125" style="280"/>
    <col min="7665" max="7665" width="13.85546875" style="280" customWidth="1"/>
    <col min="7666" max="7666" width="9.7109375" style="280" customWidth="1"/>
    <col min="7667" max="7667" width="8.5703125" style="280" customWidth="1"/>
    <col min="7668" max="7668" width="4.140625" style="280" customWidth="1"/>
    <col min="7669" max="7915" width="11.42578125" style="280"/>
    <col min="7916" max="7916" width="8.7109375" style="280" customWidth="1"/>
    <col min="7917" max="7917" width="22.28515625" style="280" customWidth="1"/>
    <col min="7918" max="7918" width="9.7109375" style="280" customWidth="1"/>
    <col min="7919" max="7920" width="11.42578125" style="280"/>
    <col min="7921" max="7921" width="13.85546875" style="280" customWidth="1"/>
    <col min="7922" max="7922" width="9.7109375" style="280" customWidth="1"/>
    <col min="7923" max="7923" width="8.5703125" style="280" customWidth="1"/>
    <col min="7924" max="7924" width="4.140625" style="280" customWidth="1"/>
    <col min="7925" max="8171" width="11.42578125" style="280"/>
    <col min="8172" max="8172" width="8.7109375" style="280" customWidth="1"/>
    <col min="8173" max="8173" width="22.28515625" style="280" customWidth="1"/>
    <col min="8174" max="8174" width="9.7109375" style="280" customWidth="1"/>
    <col min="8175" max="8176" width="11.42578125" style="280"/>
    <col min="8177" max="8177" width="13.85546875" style="280" customWidth="1"/>
    <col min="8178" max="8178" width="9.7109375" style="280" customWidth="1"/>
    <col min="8179" max="8179" width="8.5703125" style="280" customWidth="1"/>
    <col min="8180" max="8180" width="4.140625" style="280" customWidth="1"/>
    <col min="8181" max="8427" width="11.42578125" style="280"/>
    <col min="8428" max="8428" width="8.7109375" style="280" customWidth="1"/>
    <col min="8429" max="8429" width="22.28515625" style="280" customWidth="1"/>
    <col min="8430" max="8430" width="9.7109375" style="280" customWidth="1"/>
    <col min="8431" max="8432" width="11.42578125" style="280"/>
    <col min="8433" max="8433" width="13.85546875" style="280" customWidth="1"/>
    <col min="8434" max="8434" width="9.7109375" style="280" customWidth="1"/>
    <col min="8435" max="8435" width="8.5703125" style="280" customWidth="1"/>
    <col min="8436" max="8436" width="4.140625" style="280" customWidth="1"/>
    <col min="8437" max="8683" width="11.42578125" style="280"/>
    <col min="8684" max="8684" width="8.7109375" style="280" customWidth="1"/>
    <col min="8685" max="8685" width="22.28515625" style="280" customWidth="1"/>
    <col min="8686" max="8686" width="9.7109375" style="280" customWidth="1"/>
    <col min="8687" max="8688" width="11.42578125" style="280"/>
    <col min="8689" max="8689" width="13.85546875" style="280" customWidth="1"/>
    <col min="8690" max="8690" width="9.7109375" style="280" customWidth="1"/>
    <col min="8691" max="8691" width="8.5703125" style="280" customWidth="1"/>
    <col min="8692" max="8692" width="4.140625" style="280" customWidth="1"/>
    <col min="8693" max="8939" width="11.42578125" style="280"/>
    <col min="8940" max="8940" width="8.7109375" style="280" customWidth="1"/>
    <col min="8941" max="8941" width="22.28515625" style="280" customWidth="1"/>
    <col min="8942" max="8942" width="9.7109375" style="280" customWidth="1"/>
    <col min="8943" max="8944" width="11.42578125" style="280"/>
    <col min="8945" max="8945" width="13.85546875" style="280" customWidth="1"/>
    <col min="8946" max="8946" width="9.7109375" style="280" customWidth="1"/>
    <col min="8947" max="8947" width="8.5703125" style="280" customWidth="1"/>
    <col min="8948" max="8948" width="4.140625" style="280" customWidth="1"/>
    <col min="8949" max="9195" width="11.42578125" style="280"/>
    <col min="9196" max="9196" width="8.7109375" style="280" customWidth="1"/>
    <col min="9197" max="9197" width="22.28515625" style="280" customWidth="1"/>
    <col min="9198" max="9198" width="9.7109375" style="280" customWidth="1"/>
    <col min="9199" max="9200" width="11.42578125" style="280"/>
    <col min="9201" max="9201" width="13.85546875" style="280" customWidth="1"/>
    <col min="9202" max="9202" width="9.7109375" style="280" customWidth="1"/>
    <col min="9203" max="9203" width="8.5703125" style="280" customWidth="1"/>
    <col min="9204" max="9204" width="4.140625" style="280" customWidth="1"/>
    <col min="9205" max="9451" width="11.42578125" style="280"/>
    <col min="9452" max="9452" width="8.7109375" style="280" customWidth="1"/>
    <col min="9453" max="9453" width="22.28515625" style="280" customWidth="1"/>
    <col min="9454" max="9454" width="9.7109375" style="280" customWidth="1"/>
    <col min="9455" max="9456" width="11.42578125" style="280"/>
    <col min="9457" max="9457" width="13.85546875" style="280" customWidth="1"/>
    <col min="9458" max="9458" width="9.7109375" style="280" customWidth="1"/>
    <col min="9459" max="9459" width="8.5703125" style="280" customWidth="1"/>
    <col min="9460" max="9460" width="4.140625" style="280" customWidth="1"/>
    <col min="9461" max="9707" width="11.42578125" style="280"/>
    <col min="9708" max="9708" width="8.7109375" style="280" customWidth="1"/>
    <col min="9709" max="9709" width="22.28515625" style="280" customWidth="1"/>
    <col min="9710" max="9710" width="9.7109375" style="280" customWidth="1"/>
    <col min="9711" max="9712" width="11.42578125" style="280"/>
    <col min="9713" max="9713" width="13.85546875" style="280" customWidth="1"/>
    <col min="9714" max="9714" width="9.7109375" style="280" customWidth="1"/>
    <col min="9715" max="9715" width="8.5703125" style="280" customWidth="1"/>
    <col min="9716" max="9716" width="4.140625" style="280" customWidth="1"/>
    <col min="9717" max="9963" width="11.42578125" style="280"/>
    <col min="9964" max="9964" width="8.7109375" style="280" customWidth="1"/>
    <col min="9965" max="9965" width="22.28515625" style="280" customWidth="1"/>
    <col min="9966" max="9966" width="9.7109375" style="280" customWidth="1"/>
    <col min="9967" max="9968" width="11.42578125" style="280"/>
    <col min="9969" max="9969" width="13.85546875" style="280" customWidth="1"/>
    <col min="9970" max="9970" width="9.7109375" style="280" customWidth="1"/>
    <col min="9971" max="9971" width="8.5703125" style="280" customWidth="1"/>
    <col min="9972" max="9972" width="4.140625" style="280" customWidth="1"/>
    <col min="9973" max="10219" width="11.42578125" style="280"/>
    <col min="10220" max="10220" width="8.7109375" style="280" customWidth="1"/>
    <col min="10221" max="10221" width="22.28515625" style="280" customWidth="1"/>
    <col min="10222" max="10222" width="9.7109375" style="280" customWidth="1"/>
    <col min="10223" max="10224" width="11.42578125" style="280"/>
    <col min="10225" max="10225" width="13.85546875" style="280" customWidth="1"/>
    <col min="10226" max="10226" width="9.7109375" style="280" customWidth="1"/>
    <col min="10227" max="10227" width="8.5703125" style="280" customWidth="1"/>
    <col min="10228" max="10228" width="4.140625" style="280" customWidth="1"/>
    <col min="10229" max="10475" width="11.42578125" style="280"/>
    <col min="10476" max="10476" width="8.7109375" style="280" customWidth="1"/>
    <col min="10477" max="10477" width="22.28515625" style="280" customWidth="1"/>
    <col min="10478" max="10478" width="9.7109375" style="280" customWidth="1"/>
    <col min="10479" max="10480" width="11.42578125" style="280"/>
    <col min="10481" max="10481" width="13.85546875" style="280" customWidth="1"/>
    <col min="10482" max="10482" width="9.7109375" style="280" customWidth="1"/>
    <col min="10483" max="10483" width="8.5703125" style="280" customWidth="1"/>
    <col min="10484" max="10484" width="4.140625" style="280" customWidth="1"/>
    <col min="10485" max="10731" width="11.42578125" style="280"/>
    <col min="10732" max="10732" width="8.7109375" style="280" customWidth="1"/>
    <col min="10733" max="10733" width="22.28515625" style="280" customWidth="1"/>
    <col min="10734" max="10734" width="9.7109375" style="280" customWidth="1"/>
    <col min="10735" max="10736" width="11.42578125" style="280"/>
    <col min="10737" max="10737" width="13.85546875" style="280" customWidth="1"/>
    <col min="10738" max="10738" width="9.7109375" style="280" customWidth="1"/>
    <col min="10739" max="10739" width="8.5703125" style="280" customWidth="1"/>
    <col min="10740" max="10740" width="4.140625" style="280" customWidth="1"/>
    <col min="10741" max="10987" width="11.42578125" style="280"/>
    <col min="10988" max="10988" width="8.7109375" style="280" customWidth="1"/>
    <col min="10989" max="10989" width="22.28515625" style="280" customWidth="1"/>
    <col min="10990" max="10990" width="9.7109375" style="280" customWidth="1"/>
    <col min="10991" max="10992" width="11.42578125" style="280"/>
    <col min="10993" max="10993" width="13.85546875" style="280" customWidth="1"/>
    <col min="10994" max="10994" width="9.7109375" style="280" customWidth="1"/>
    <col min="10995" max="10995" width="8.5703125" style="280" customWidth="1"/>
    <col min="10996" max="10996" width="4.140625" style="280" customWidth="1"/>
    <col min="10997" max="11243" width="11.42578125" style="280"/>
    <col min="11244" max="11244" width="8.7109375" style="280" customWidth="1"/>
    <col min="11245" max="11245" width="22.28515625" style="280" customWidth="1"/>
    <col min="11246" max="11246" width="9.7109375" style="280" customWidth="1"/>
    <col min="11247" max="11248" width="11.42578125" style="280"/>
    <col min="11249" max="11249" width="13.85546875" style="280" customWidth="1"/>
    <col min="11250" max="11250" width="9.7109375" style="280" customWidth="1"/>
    <col min="11251" max="11251" width="8.5703125" style="280" customWidth="1"/>
    <col min="11252" max="11252" width="4.140625" style="280" customWidth="1"/>
    <col min="11253" max="11499" width="11.42578125" style="280"/>
    <col min="11500" max="11500" width="8.7109375" style="280" customWidth="1"/>
    <col min="11501" max="11501" width="22.28515625" style="280" customWidth="1"/>
    <col min="11502" max="11502" width="9.7109375" style="280" customWidth="1"/>
    <col min="11503" max="11504" width="11.42578125" style="280"/>
    <col min="11505" max="11505" width="13.85546875" style="280" customWidth="1"/>
    <col min="11506" max="11506" width="9.7109375" style="280" customWidth="1"/>
    <col min="11507" max="11507" width="8.5703125" style="280" customWidth="1"/>
    <col min="11508" max="11508" width="4.140625" style="280" customWidth="1"/>
    <col min="11509" max="11755" width="11.42578125" style="280"/>
    <col min="11756" max="11756" width="8.7109375" style="280" customWidth="1"/>
    <col min="11757" max="11757" width="22.28515625" style="280" customWidth="1"/>
    <col min="11758" max="11758" width="9.7109375" style="280" customWidth="1"/>
    <col min="11759" max="11760" width="11.42578125" style="280"/>
    <col min="11761" max="11761" width="13.85546875" style="280" customWidth="1"/>
    <col min="11762" max="11762" width="9.7109375" style="280" customWidth="1"/>
    <col min="11763" max="11763" width="8.5703125" style="280" customWidth="1"/>
    <col min="11764" max="11764" width="4.140625" style="280" customWidth="1"/>
    <col min="11765" max="12011" width="11.42578125" style="280"/>
    <col min="12012" max="12012" width="8.7109375" style="280" customWidth="1"/>
    <col min="12013" max="12013" width="22.28515625" style="280" customWidth="1"/>
    <col min="12014" max="12014" width="9.7109375" style="280" customWidth="1"/>
    <col min="12015" max="12016" width="11.42578125" style="280"/>
    <col min="12017" max="12017" width="13.85546875" style="280" customWidth="1"/>
    <col min="12018" max="12018" width="9.7109375" style="280" customWidth="1"/>
    <col min="12019" max="12019" width="8.5703125" style="280" customWidth="1"/>
    <col min="12020" max="12020" width="4.140625" style="280" customWidth="1"/>
    <col min="12021" max="12267" width="11.42578125" style="280"/>
    <col min="12268" max="12268" width="8.7109375" style="280" customWidth="1"/>
    <col min="12269" max="12269" width="22.28515625" style="280" customWidth="1"/>
    <col min="12270" max="12270" width="9.7109375" style="280" customWidth="1"/>
    <col min="12271" max="12272" width="11.42578125" style="280"/>
    <col min="12273" max="12273" width="13.85546875" style="280" customWidth="1"/>
    <col min="12274" max="12274" width="9.7109375" style="280" customWidth="1"/>
    <col min="12275" max="12275" width="8.5703125" style="280" customWidth="1"/>
    <col min="12276" max="12276" width="4.140625" style="280" customWidth="1"/>
    <col min="12277" max="12523" width="11.42578125" style="280"/>
    <col min="12524" max="12524" width="8.7109375" style="280" customWidth="1"/>
    <col min="12525" max="12525" width="22.28515625" style="280" customWidth="1"/>
    <col min="12526" max="12526" width="9.7109375" style="280" customWidth="1"/>
    <col min="12527" max="12528" width="11.42578125" style="280"/>
    <col min="12529" max="12529" width="13.85546875" style="280" customWidth="1"/>
    <col min="12530" max="12530" width="9.7109375" style="280" customWidth="1"/>
    <col min="12531" max="12531" width="8.5703125" style="280" customWidth="1"/>
    <col min="12532" max="12532" width="4.140625" style="280" customWidth="1"/>
    <col min="12533" max="12779" width="11.42578125" style="280"/>
    <col min="12780" max="12780" width="8.7109375" style="280" customWidth="1"/>
    <col min="12781" max="12781" width="22.28515625" style="280" customWidth="1"/>
    <col min="12782" max="12782" width="9.7109375" style="280" customWidth="1"/>
    <col min="12783" max="12784" width="11.42578125" style="280"/>
    <col min="12785" max="12785" width="13.85546875" style="280" customWidth="1"/>
    <col min="12786" max="12786" width="9.7109375" style="280" customWidth="1"/>
    <col min="12787" max="12787" width="8.5703125" style="280" customWidth="1"/>
    <col min="12788" max="12788" width="4.140625" style="280" customWidth="1"/>
    <col min="12789" max="13035" width="11.42578125" style="280"/>
    <col min="13036" max="13036" width="8.7109375" style="280" customWidth="1"/>
    <col min="13037" max="13037" width="22.28515625" style="280" customWidth="1"/>
    <col min="13038" max="13038" width="9.7109375" style="280" customWidth="1"/>
    <col min="13039" max="13040" width="11.42578125" style="280"/>
    <col min="13041" max="13041" width="13.85546875" style="280" customWidth="1"/>
    <col min="13042" max="13042" width="9.7109375" style="280" customWidth="1"/>
    <col min="13043" max="13043" width="8.5703125" style="280" customWidth="1"/>
    <col min="13044" max="13044" width="4.140625" style="280" customWidth="1"/>
    <col min="13045" max="13291" width="11.42578125" style="280"/>
    <col min="13292" max="13292" width="8.7109375" style="280" customWidth="1"/>
    <col min="13293" max="13293" width="22.28515625" style="280" customWidth="1"/>
    <col min="13294" max="13294" width="9.7109375" style="280" customWidth="1"/>
    <col min="13295" max="13296" width="11.42578125" style="280"/>
    <col min="13297" max="13297" width="13.85546875" style="280" customWidth="1"/>
    <col min="13298" max="13298" width="9.7109375" style="280" customWidth="1"/>
    <col min="13299" max="13299" width="8.5703125" style="280" customWidth="1"/>
    <col min="13300" max="13300" width="4.140625" style="280" customWidth="1"/>
    <col min="13301" max="13547" width="11.42578125" style="280"/>
    <col min="13548" max="13548" width="8.7109375" style="280" customWidth="1"/>
    <col min="13549" max="13549" width="22.28515625" style="280" customWidth="1"/>
    <col min="13550" max="13550" width="9.7109375" style="280" customWidth="1"/>
    <col min="13551" max="13552" width="11.42578125" style="280"/>
    <col min="13553" max="13553" width="13.85546875" style="280" customWidth="1"/>
    <col min="13554" max="13554" width="9.7109375" style="280" customWidth="1"/>
    <col min="13555" max="13555" width="8.5703125" style="280" customWidth="1"/>
    <col min="13556" max="13556" width="4.140625" style="280" customWidth="1"/>
    <col min="13557" max="13803" width="11.42578125" style="280"/>
    <col min="13804" max="13804" width="8.7109375" style="280" customWidth="1"/>
    <col min="13805" max="13805" width="22.28515625" style="280" customWidth="1"/>
    <col min="13806" max="13806" width="9.7109375" style="280" customWidth="1"/>
    <col min="13807" max="13808" width="11.42578125" style="280"/>
    <col min="13809" max="13809" width="13.85546875" style="280" customWidth="1"/>
    <col min="13810" max="13810" width="9.7109375" style="280" customWidth="1"/>
    <col min="13811" max="13811" width="8.5703125" style="280" customWidth="1"/>
    <col min="13812" max="13812" width="4.140625" style="280" customWidth="1"/>
    <col min="13813" max="14059" width="11.42578125" style="280"/>
    <col min="14060" max="14060" width="8.7109375" style="280" customWidth="1"/>
    <col min="14061" max="14061" width="22.28515625" style="280" customWidth="1"/>
    <col min="14062" max="14062" width="9.7109375" style="280" customWidth="1"/>
    <col min="14063" max="14064" width="11.42578125" style="280"/>
    <col min="14065" max="14065" width="13.85546875" style="280" customWidth="1"/>
    <col min="14066" max="14066" width="9.7109375" style="280" customWidth="1"/>
    <col min="14067" max="14067" width="8.5703125" style="280" customWidth="1"/>
    <col min="14068" max="14068" width="4.140625" style="280" customWidth="1"/>
    <col min="14069" max="14315" width="11.42578125" style="280"/>
    <col min="14316" max="14316" width="8.7109375" style="280" customWidth="1"/>
    <col min="14317" max="14317" width="22.28515625" style="280" customWidth="1"/>
    <col min="14318" max="14318" width="9.7109375" style="280" customWidth="1"/>
    <col min="14319" max="14320" width="11.42578125" style="280"/>
    <col min="14321" max="14321" width="13.85546875" style="280" customWidth="1"/>
    <col min="14322" max="14322" width="9.7109375" style="280" customWidth="1"/>
    <col min="14323" max="14323" width="8.5703125" style="280" customWidth="1"/>
    <col min="14324" max="14324" width="4.140625" style="280" customWidth="1"/>
    <col min="14325" max="14571" width="11.42578125" style="280"/>
    <col min="14572" max="14572" width="8.7109375" style="280" customWidth="1"/>
    <col min="14573" max="14573" width="22.28515625" style="280" customWidth="1"/>
    <col min="14574" max="14574" width="9.7109375" style="280" customWidth="1"/>
    <col min="14575" max="14576" width="11.42578125" style="280"/>
    <col min="14577" max="14577" width="13.85546875" style="280" customWidth="1"/>
    <col min="14578" max="14578" width="9.7109375" style="280" customWidth="1"/>
    <col min="14579" max="14579" width="8.5703125" style="280" customWidth="1"/>
    <col min="14580" max="14580" width="4.140625" style="280" customWidth="1"/>
    <col min="14581" max="14827" width="11.42578125" style="280"/>
    <col min="14828" max="14828" width="8.7109375" style="280" customWidth="1"/>
    <col min="14829" max="14829" width="22.28515625" style="280" customWidth="1"/>
    <col min="14830" max="14830" width="9.7109375" style="280" customWidth="1"/>
    <col min="14831" max="14832" width="11.42578125" style="280"/>
    <col min="14833" max="14833" width="13.85546875" style="280" customWidth="1"/>
    <col min="14834" max="14834" width="9.7109375" style="280" customWidth="1"/>
    <col min="14835" max="14835" width="8.5703125" style="280" customWidth="1"/>
    <col min="14836" max="14836" width="4.140625" style="280" customWidth="1"/>
    <col min="14837" max="15083" width="11.42578125" style="280"/>
    <col min="15084" max="15084" width="8.7109375" style="280" customWidth="1"/>
    <col min="15085" max="15085" width="22.28515625" style="280" customWidth="1"/>
    <col min="15086" max="15086" width="9.7109375" style="280" customWidth="1"/>
    <col min="15087" max="15088" width="11.42578125" style="280"/>
    <col min="15089" max="15089" width="13.85546875" style="280" customWidth="1"/>
    <col min="15090" max="15090" width="9.7109375" style="280" customWidth="1"/>
    <col min="15091" max="15091" width="8.5703125" style="280" customWidth="1"/>
    <col min="15092" max="15092" width="4.140625" style="280" customWidth="1"/>
    <col min="15093" max="15339" width="11.42578125" style="280"/>
    <col min="15340" max="15340" width="8.7109375" style="280" customWidth="1"/>
    <col min="15341" max="15341" width="22.28515625" style="280" customWidth="1"/>
    <col min="15342" max="15342" width="9.7109375" style="280" customWidth="1"/>
    <col min="15343" max="15344" width="11.42578125" style="280"/>
    <col min="15345" max="15345" width="13.85546875" style="280" customWidth="1"/>
    <col min="15346" max="15346" width="9.7109375" style="280" customWidth="1"/>
    <col min="15347" max="15347" width="8.5703125" style="280" customWidth="1"/>
    <col min="15348" max="15348" width="4.140625" style="280" customWidth="1"/>
    <col min="15349" max="15595" width="11.42578125" style="280"/>
    <col min="15596" max="15596" width="8.7109375" style="280" customWidth="1"/>
    <col min="15597" max="15597" width="22.28515625" style="280" customWidth="1"/>
    <col min="15598" max="15598" width="9.7109375" style="280" customWidth="1"/>
    <col min="15599" max="15600" width="11.42578125" style="280"/>
    <col min="15601" max="15601" width="13.85546875" style="280" customWidth="1"/>
    <col min="15602" max="15602" width="9.7109375" style="280" customWidth="1"/>
    <col min="15603" max="15603" width="8.5703125" style="280" customWidth="1"/>
    <col min="15604" max="15604" width="4.140625" style="280" customWidth="1"/>
    <col min="15605" max="15851" width="11.42578125" style="280"/>
    <col min="15852" max="15852" width="8.7109375" style="280" customWidth="1"/>
    <col min="15853" max="15853" width="22.28515625" style="280" customWidth="1"/>
    <col min="15854" max="15854" width="9.7109375" style="280" customWidth="1"/>
    <col min="15855" max="15856" width="11.42578125" style="280"/>
    <col min="15857" max="15857" width="13.85546875" style="280" customWidth="1"/>
    <col min="15858" max="15858" width="9.7109375" style="280" customWidth="1"/>
    <col min="15859" max="15859" width="8.5703125" style="280" customWidth="1"/>
    <col min="15860" max="15860" width="4.140625" style="280" customWidth="1"/>
    <col min="15861" max="16107" width="11.42578125" style="280"/>
    <col min="16108" max="16108" width="8.7109375" style="280" customWidth="1"/>
    <col min="16109" max="16109" width="22.28515625" style="280" customWidth="1"/>
    <col min="16110" max="16110" width="9.7109375" style="280" customWidth="1"/>
    <col min="16111" max="16112" width="11.42578125" style="280"/>
    <col min="16113" max="16113" width="13.85546875" style="280" customWidth="1"/>
    <col min="16114" max="16114" width="9.7109375" style="280" customWidth="1"/>
    <col min="16115" max="16115" width="8.5703125" style="280" customWidth="1"/>
    <col min="16116" max="16116" width="4.140625" style="280" customWidth="1"/>
    <col min="16117" max="16384" width="11.42578125" style="280"/>
  </cols>
  <sheetData>
    <row r="3" spans="2:17" ht="56.25" customHeight="1" x14ac:dyDescent="0.25">
      <c r="B3" s="659" t="s">
        <v>805</v>
      </c>
      <c r="C3" s="659"/>
      <c r="D3" s="659"/>
      <c r="E3" s="659"/>
      <c r="F3" s="659"/>
      <c r="G3" s="660"/>
      <c r="H3" s="660"/>
      <c r="I3" s="660"/>
      <c r="J3" s="660"/>
    </row>
    <row r="4" spans="2:17" ht="48" customHeight="1" x14ac:dyDescent="0.25">
      <c r="B4" s="655" t="str">
        <f>+'ACTA 2'!B13</f>
        <v>Localización y replanteo</v>
      </c>
      <c r="C4" s="655"/>
      <c r="D4" s="655"/>
      <c r="E4" s="655"/>
      <c r="F4" s="655"/>
      <c r="G4" s="655" t="str">
        <f>+'ACTA 2'!C13</f>
        <v>M2</v>
      </c>
      <c r="H4" s="655"/>
      <c r="I4" s="655"/>
      <c r="P4" s="391">
        <v>2</v>
      </c>
      <c r="Q4" s="392" t="s">
        <v>853</v>
      </c>
    </row>
    <row r="5" spans="2:17" ht="9.9499999999999993" customHeight="1" x14ac:dyDescent="0.25">
      <c r="B5" s="289"/>
      <c r="C5" s="290"/>
      <c r="D5" s="290"/>
      <c r="E5" s="290"/>
      <c r="F5" s="291"/>
      <c r="G5" s="290"/>
      <c r="H5" s="290"/>
      <c r="I5" s="292"/>
      <c r="J5" s="289"/>
      <c r="P5" s="391">
        <v>3</v>
      </c>
      <c r="Q5" s="392" t="s">
        <v>822</v>
      </c>
    </row>
    <row r="6" spans="2:17" ht="9.9499999999999993" customHeight="1" x14ac:dyDescent="0.25">
      <c r="B6" s="656"/>
      <c r="C6" s="656"/>
      <c r="D6" s="294"/>
      <c r="E6" s="294"/>
      <c r="F6" s="295"/>
      <c r="G6" s="294"/>
      <c r="I6" s="402"/>
      <c r="J6" s="403"/>
      <c r="P6" s="391">
        <v>3</v>
      </c>
      <c r="Q6" s="392" t="s">
        <v>854</v>
      </c>
    </row>
    <row r="7" spans="2:17" ht="38.25" customHeight="1" x14ac:dyDescent="0.25">
      <c r="B7" s="301"/>
      <c r="C7" s="404" t="s">
        <v>809</v>
      </c>
      <c r="D7" s="405" t="s">
        <v>810</v>
      </c>
      <c r="E7" s="404" t="s">
        <v>811</v>
      </c>
      <c r="F7" s="406" t="s">
        <v>812</v>
      </c>
      <c r="G7" s="404" t="s">
        <v>813</v>
      </c>
      <c r="H7" s="404" t="s">
        <v>693</v>
      </c>
      <c r="I7" s="657" t="s">
        <v>814</v>
      </c>
      <c r="J7" s="657"/>
      <c r="P7" s="393">
        <v>4</v>
      </c>
      <c r="Q7" s="394" t="s">
        <v>855</v>
      </c>
    </row>
    <row r="8" spans="2:17" ht="20.25" customHeight="1" x14ac:dyDescent="0.25">
      <c r="B8" s="400"/>
      <c r="C8" s="407"/>
      <c r="D8" s="407"/>
      <c r="E8" s="407"/>
      <c r="F8" s="408"/>
      <c r="G8" s="294"/>
      <c r="H8" s="407"/>
      <c r="I8" s="658"/>
      <c r="J8" s="658"/>
      <c r="P8" s="391">
        <v>4</v>
      </c>
      <c r="Q8" s="392" t="s">
        <v>856</v>
      </c>
    </row>
    <row r="9" spans="2:17" ht="20.25" customHeight="1" x14ac:dyDescent="0.25">
      <c r="B9" s="400" t="s">
        <v>876</v>
      </c>
      <c r="C9" s="407">
        <v>1</v>
      </c>
      <c r="D9" s="407">
        <v>1</v>
      </c>
      <c r="E9" s="407"/>
      <c r="F9" s="408"/>
      <c r="G9" s="407"/>
      <c r="H9" s="407">
        <f t="shared" ref="H9:H11" si="0">+C9*D9</f>
        <v>1</v>
      </c>
      <c r="I9" s="658"/>
      <c r="J9" s="658"/>
      <c r="P9" s="395">
        <v>4</v>
      </c>
      <c r="Q9" s="392" t="s">
        <v>857</v>
      </c>
    </row>
    <row r="10" spans="2:17" ht="20.25" customHeight="1" x14ac:dyDescent="0.25">
      <c r="B10" s="400" t="s">
        <v>877</v>
      </c>
      <c r="C10" s="407">
        <v>1</v>
      </c>
      <c r="D10" s="407">
        <v>1</v>
      </c>
      <c r="E10" s="407"/>
      <c r="F10" s="408"/>
      <c r="G10" s="407"/>
      <c r="H10" s="407">
        <f t="shared" si="0"/>
        <v>1</v>
      </c>
      <c r="I10" s="658"/>
      <c r="J10" s="658"/>
      <c r="P10" s="393">
        <v>6</v>
      </c>
      <c r="Q10" s="394" t="s">
        <v>858</v>
      </c>
    </row>
    <row r="11" spans="2:17" ht="20.25" customHeight="1" x14ac:dyDescent="0.25">
      <c r="B11" s="400" t="s">
        <v>878</v>
      </c>
      <c r="C11" s="407">
        <v>1</v>
      </c>
      <c r="D11" s="407">
        <v>1.0300000000000005</v>
      </c>
      <c r="E11" s="407"/>
      <c r="F11" s="408"/>
      <c r="G11" s="407"/>
      <c r="H11" s="407">
        <f t="shared" si="0"/>
        <v>1.0300000000000005</v>
      </c>
      <c r="I11" s="658"/>
      <c r="J11" s="658"/>
      <c r="P11" s="395">
        <v>6</v>
      </c>
      <c r="Q11" s="392" t="s">
        <v>859</v>
      </c>
    </row>
    <row r="12" spans="2:17" ht="20.25" customHeight="1" x14ac:dyDescent="0.25">
      <c r="B12" s="300"/>
      <c r="C12" s="294"/>
      <c r="D12" s="294"/>
      <c r="E12" s="294"/>
      <c r="F12" s="295"/>
      <c r="G12" s="294" t="s">
        <v>693</v>
      </c>
      <c r="H12" s="407">
        <f>SUM(H8:H11)</f>
        <v>3.0300000000000002</v>
      </c>
      <c r="I12" s="654"/>
      <c r="J12" s="654"/>
    </row>
    <row r="13" spans="2:17" ht="20.25" customHeight="1" x14ac:dyDescent="0.25">
      <c r="B13" s="300"/>
      <c r="C13" s="294"/>
      <c r="D13" s="294"/>
      <c r="E13" s="294"/>
      <c r="F13" s="295"/>
      <c r="G13" s="294"/>
      <c r="H13" s="294"/>
      <c r="I13" s="301"/>
      <c r="J13" s="289"/>
    </row>
    <row r="14" spans="2:17" x14ac:dyDescent="0.25">
      <c r="F14" s="284"/>
    </row>
    <row r="15" spans="2:17" x14ac:dyDescent="0.25">
      <c r="F15" s="284"/>
    </row>
    <row r="16" spans="2:17" ht="56.25" customHeight="1" x14ac:dyDescent="0.25">
      <c r="B16" s="659" t="s">
        <v>805</v>
      </c>
      <c r="C16" s="659"/>
      <c r="D16" s="659"/>
      <c r="E16" s="659"/>
      <c r="F16" s="659"/>
      <c r="G16" s="660"/>
      <c r="H16" s="660"/>
      <c r="I16" s="660"/>
      <c r="J16" s="660"/>
    </row>
    <row r="17" spans="2:15" x14ac:dyDescent="0.25">
      <c r="B17" s="655" t="str">
        <f>+'ACTA 2'!B14</f>
        <v>Señalización preventiva</v>
      </c>
      <c r="C17" s="655"/>
      <c r="D17" s="655"/>
      <c r="E17" s="655"/>
      <c r="F17" s="655"/>
      <c r="G17" s="655" t="str">
        <f>+'ACTA 2'!C14</f>
        <v>M2</v>
      </c>
      <c r="H17" s="655"/>
      <c r="I17" s="655"/>
    </row>
    <row r="18" spans="2:15" ht="9.9499999999999993" customHeight="1" x14ac:dyDescent="0.25">
      <c r="B18" s="289"/>
      <c r="C18" s="290"/>
      <c r="D18" s="290"/>
      <c r="E18" s="290"/>
      <c r="F18" s="291"/>
      <c r="G18" s="290"/>
      <c r="H18" s="290"/>
      <c r="I18" s="292"/>
      <c r="J18" s="289"/>
    </row>
    <row r="19" spans="2:15" ht="9.9499999999999993" customHeight="1" x14ac:dyDescent="0.25">
      <c r="B19" s="656"/>
      <c r="C19" s="656"/>
      <c r="D19" s="294"/>
      <c r="E19" s="294"/>
      <c r="F19" s="295"/>
      <c r="G19" s="294"/>
      <c r="I19" s="402"/>
      <c r="J19" s="403"/>
    </row>
    <row r="20" spans="2:15" ht="38.25" customHeight="1" x14ac:dyDescent="0.25">
      <c r="B20" s="301"/>
      <c r="C20" s="404" t="s">
        <v>809</v>
      </c>
      <c r="D20" s="405" t="s">
        <v>810</v>
      </c>
      <c r="E20" s="404" t="s">
        <v>811</v>
      </c>
      <c r="F20" s="406" t="s">
        <v>812</v>
      </c>
      <c r="G20" s="404" t="s">
        <v>813</v>
      </c>
      <c r="H20" s="404" t="s">
        <v>693</v>
      </c>
      <c r="I20" s="657" t="s">
        <v>814</v>
      </c>
      <c r="J20" s="657"/>
      <c r="L20" s="280">
        <v>4.76</v>
      </c>
    </row>
    <row r="21" spans="2:15" ht="20.25" customHeight="1" x14ac:dyDescent="0.25">
      <c r="B21" s="400"/>
      <c r="C21" s="407"/>
      <c r="D21" s="407"/>
      <c r="E21" s="407"/>
      <c r="F21" s="408"/>
      <c r="G21" s="294"/>
      <c r="H21" s="407"/>
      <c r="I21" s="658"/>
      <c r="J21" s="658"/>
    </row>
    <row r="22" spans="2:15" ht="20.25" customHeight="1" x14ac:dyDescent="0.25">
      <c r="B22" s="400" t="s">
        <v>876</v>
      </c>
      <c r="C22" s="407">
        <v>1.2</v>
      </c>
      <c r="D22" s="407">
        <v>1.3</v>
      </c>
      <c r="E22" s="407"/>
      <c r="F22" s="408"/>
      <c r="G22" s="407"/>
      <c r="H22" s="407">
        <f t="shared" ref="H22:H24" si="1">+C22*D22</f>
        <v>1.56</v>
      </c>
      <c r="I22" s="658"/>
      <c r="J22" s="658"/>
      <c r="N22" s="298"/>
      <c r="O22" s="298"/>
    </row>
    <row r="23" spans="2:15" ht="20.25" customHeight="1" x14ac:dyDescent="0.25">
      <c r="B23" s="400" t="s">
        <v>877</v>
      </c>
      <c r="C23" s="407">
        <v>1.2</v>
      </c>
      <c r="D23" s="407">
        <v>1.2</v>
      </c>
      <c r="E23" s="407"/>
      <c r="F23" s="408"/>
      <c r="G23" s="407"/>
      <c r="H23" s="407">
        <f t="shared" si="1"/>
        <v>1.44</v>
      </c>
      <c r="I23" s="658"/>
      <c r="J23" s="658"/>
      <c r="N23" s="298"/>
      <c r="O23" s="298"/>
    </row>
    <row r="24" spans="2:15" ht="20.25" customHeight="1" x14ac:dyDescent="0.25">
      <c r="B24" s="400" t="s">
        <v>878</v>
      </c>
      <c r="C24" s="407">
        <v>1.3538461538461539</v>
      </c>
      <c r="D24" s="407">
        <v>1.3</v>
      </c>
      <c r="E24" s="407"/>
      <c r="F24" s="408"/>
      <c r="G24" s="407"/>
      <c r="H24" s="407">
        <f t="shared" si="1"/>
        <v>1.7600000000000002</v>
      </c>
      <c r="I24" s="658"/>
      <c r="J24" s="658"/>
      <c r="N24" s="298"/>
      <c r="O24" s="298"/>
    </row>
    <row r="25" spans="2:15" ht="20.25" customHeight="1" x14ac:dyDescent="0.25">
      <c r="B25" s="300"/>
      <c r="C25" s="294"/>
      <c r="D25" s="294"/>
      <c r="E25" s="294"/>
      <c r="F25" s="295"/>
      <c r="G25" s="294" t="s">
        <v>693</v>
      </c>
      <c r="H25" s="407">
        <f>SUM(H21:H24)</f>
        <v>4.76</v>
      </c>
      <c r="I25" s="654"/>
      <c r="J25" s="654"/>
    </row>
    <row r="26" spans="2:15" ht="20.25" customHeight="1" x14ac:dyDescent="0.25">
      <c r="B26" s="300"/>
      <c r="C26" s="294"/>
      <c r="D26" s="294"/>
      <c r="E26" s="294"/>
      <c r="F26" s="295"/>
      <c r="G26" s="294"/>
      <c r="H26" s="294"/>
      <c r="I26" s="301"/>
      <c r="J26" s="289"/>
      <c r="L26" s="280">
        <v>22.61</v>
      </c>
    </row>
    <row r="27" spans="2:15" ht="20.25" customHeight="1" x14ac:dyDescent="0.25">
      <c r="B27" s="305"/>
      <c r="C27" s="305"/>
      <c r="D27" s="305"/>
      <c r="E27" s="305"/>
      <c r="F27" s="305"/>
      <c r="G27" s="305"/>
      <c r="H27" s="306"/>
      <c r="I27" s="301"/>
    </row>
    <row r="28" spans="2:15" ht="19.5" customHeight="1" x14ac:dyDescent="0.25">
      <c r="F28" s="284"/>
    </row>
    <row r="29" spans="2:15" ht="56.25" customHeight="1" x14ac:dyDescent="0.25">
      <c r="B29" s="659" t="s">
        <v>805</v>
      </c>
      <c r="C29" s="659"/>
      <c r="D29" s="659"/>
      <c r="E29" s="659"/>
      <c r="F29" s="659"/>
      <c r="G29" s="660"/>
      <c r="H29" s="660"/>
      <c r="I29" s="660"/>
      <c r="J29" s="660"/>
    </row>
    <row r="30" spans="2:15" x14ac:dyDescent="0.25">
      <c r="B30" s="655" t="str">
        <f>+'ACTA 2'!B15</f>
        <v>Rotura de pavimento flexible (Incluye retiro)</v>
      </c>
      <c r="C30" s="655"/>
      <c r="D30" s="655"/>
      <c r="E30" s="655"/>
      <c r="F30" s="655"/>
      <c r="G30" s="655" t="str">
        <f>+'ACTA 2'!C15</f>
        <v>M2</v>
      </c>
      <c r="H30" s="655"/>
      <c r="I30" s="655"/>
      <c r="L30" s="280">
        <v>6.65</v>
      </c>
    </row>
    <row r="31" spans="2:15" ht="9.9499999999999993" customHeight="1" x14ac:dyDescent="0.25">
      <c r="B31" s="289"/>
      <c r="C31" s="290"/>
      <c r="D31" s="290"/>
      <c r="E31" s="290"/>
      <c r="F31" s="291"/>
      <c r="G31" s="290"/>
      <c r="H31" s="290"/>
      <c r="I31" s="292"/>
      <c r="J31" s="289"/>
    </row>
    <row r="32" spans="2:15" ht="9.9499999999999993" customHeight="1" x14ac:dyDescent="0.25">
      <c r="B32" s="656"/>
      <c r="C32" s="656"/>
      <c r="D32" s="294"/>
      <c r="E32" s="294"/>
      <c r="F32" s="295"/>
      <c r="G32" s="294"/>
      <c r="I32" s="402"/>
      <c r="J32" s="403"/>
    </row>
    <row r="33" spans="2:15" ht="38.25" customHeight="1" x14ac:dyDescent="0.25">
      <c r="B33" s="301"/>
      <c r="C33" s="404" t="s">
        <v>809</v>
      </c>
      <c r="D33" s="405" t="s">
        <v>810</v>
      </c>
      <c r="E33" s="404" t="s">
        <v>811</v>
      </c>
      <c r="F33" s="406" t="s">
        <v>812</v>
      </c>
      <c r="G33" s="404" t="s">
        <v>813</v>
      </c>
      <c r="H33" s="404" t="s">
        <v>693</v>
      </c>
      <c r="I33" s="657" t="s">
        <v>814</v>
      </c>
      <c r="J33" s="657"/>
      <c r="O33" s="280">
        <f>2/1.5</f>
        <v>1.3333333333333333</v>
      </c>
    </row>
    <row r="34" spans="2:15" ht="20.25" customHeight="1" x14ac:dyDescent="0.25">
      <c r="B34" s="400"/>
      <c r="C34" s="407"/>
      <c r="D34" s="407"/>
      <c r="E34" s="407"/>
      <c r="F34" s="408"/>
      <c r="G34" s="294"/>
      <c r="H34" s="407"/>
      <c r="I34" s="658"/>
      <c r="J34" s="658"/>
    </row>
    <row r="35" spans="2:15" ht="20.25" customHeight="1" x14ac:dyDescent="0.25">
      <c r="B35" s="400" t="s">
        <v>876</v>
      </c>
      <c r="C35" s="407">
        <v>1.3333333333333344</v>
      </c>
      <c r="D35" s="407">
        <v>0.6</v>
      </c>
      <c r="E35" s="407"/>
      <c r="F35" s="408"/>
      <c r="G35" s="407"/>
      <c r="H35" s="407">
        <f>+D35*C35</f>
        <v>0.8000000000000006</v>
      </c>
      <c r="I35" s="658"/>
      <c r="J35" s="658"/>
    </row>
    <row r="36" spans="2:15" ht="20.25" customHeight="1" x14ac:dyDescent="0.25">
      <c r="B36" s="400" t="s">
        <v>879</v>
      </c>
      <c r="C36" s="407">
        <v>2.2999999999999998</v>
      </c>
      <c r="D36" s="407">
        <v>1.3</v>
      </c>
      <c r="E36" s="407"/>
      <c r="F36" s="408"/>
      <c r="G36" s="407"/>
      <c r="H36" s="407">
        <f>D36*C36</f>
        <v>2.9899999999999998</v>
      </c>
      <c r="I36" s="658"/>
      <c r="J36" s="658"/>
    </row>
    <row r="37" spans="2:15" ht="20.25" customHeight="1" x14ac:dyDescent="0.25">
      <c r="B37" s="400" t="s">
        <v>880</v>
      </c>
      <c r="C37" s="407">
        <v>2.2000000000000002</v>
      </c>
      <c r="D37" s="407">
        <v>1.3</v>
      </c>
      <c r="E37" s="407"/>
      <c r="F37" s="408"/>
      <c r="G37" s="407"/>
      <c r="H37" s="407">
        <f t="shared" ref="H37" si="2">D37*C37</f>
        <v>2.8600000000000003</v>
      </c>
      <c r="I37" s="401"/>
      <c r="J37" s="401"/>
    </row>
    <row r="38" spans="2:15" ht="20.25" customHeight="1" x14ac:dyDescent="0.25">
      <c r="B38" s="300"/>
      <c r="C38" s="294"/>
      <c r="D38" s="294"/>
      <c r="E38" s="294"/>
      <c r="F38" s="295"/>
      <c r="G38" s="294" t="s">
        <v>693</v>
      </c>
      <c r="H38" s="407">
        <f>SUM(H34:H37)</f>
        <v>6.65</v>
      </c>
      <c r="I38" s="654"/>
      <c r="J38" s="654"/>
    </row>
    <row r="39" spans="2:15" ht="20.25" customHeight="1" x14ac:dyDescent="0.25">
      <c r="B39" s="300"/>
      <c r="C39" s="294"/>
      <c r="D39" s="294"/>
      <c r="E39" s="294"/>
      <c r="F39" s="295"/>
      <c r="G39" s="294"/>
      <c r="H39" s="294"/>
      <c r="I39" s="301"/>
      <c r="J39" s="289"/>
    </row>
    <row r="40" spans="2:15" ht="15" customHeight="1" x14ac:dyDescent="0.25">
      <c r="F40" s="284"/>
    </row>
    <row r="41" spans="2:15" ht="18" customHeight="1" x14ac:dyDescent="0.25">
      <c r="F41" s="284"/>
    </row>
    <row r="42" spans="2:15" ht="56.25" customHeight="1" x14ac:dyDescent="0.25">
      <c r="B42" s="659" t="s">
        <v>805</v>
      </c>
      <c r="C42" s="659"/>
      <c r="D42" s="659"/>
      <c r="E42" s="659"/>
      <c r="F42" s="659"/>
      <c r="G42" s="660"/>
      <c r="H42" s="660"/>
      <c r="I42" s="660"/>
      <c r="J42" s="660"/>
    </row>
    <row r="43" spans="2:15" x14ac:dyDescent="0.25">
      <c r="B43" s="655" t="str">
        <f>+'ACTA 2'!B16</f>
        <v>Rotura de pavimento rígido (Incluye retiro)</v>
      </c>
      <c r="C43" s="655"/>
      <c r="D43" s="655"/>
      <c r="E43" s="655"/>
      <c r="F43" s="655"/>
      <c r="G43" s="655" t="str">
        <f>+'ACTA 2'!C16</f>
        <v>M2</v>
      </c>
      <c r="H43" s="655"/>
      <c r="I43" s="655"/>
    </row>
    <row r="44" spans="2:15" ht="9.9499999999999993" customHeight="1" x14ac:dyDescent="0.25">
      <c r="B44" s="289"/>
      <c r="C44" s="290"/>
      <c r="D44" s="290"/>
      <c r="E44" s="290"/>
      <c r="F44" s="291"/>
      <c r="G44" s="290"/>
      <c r="H44" s="290"/>
      <c r="I44" s="292"/>
      <c r="J44" s="289"/>
    </row>
    <row r="45" spans="2:15" ht="9.9499999999999993" customHeight="1" x14ac:dyDescent="0.25">
      <c r="B45" s="656"/>
      <c r="C45" s="656"/>
      <c r="D45" s="294"/>
      <c r="E45" s="294"/>
      <c r="F45" s="295"/>
      <c r="G45" s="294"/>
      <c r="I45" s="402"/>
      <c r="J45" s="403"/>
    </row>
    <row r="46" spans="2:15" ht="38.25" customHeight="1" x14ac:dyDescent="0.25">
      <c r="B46" s="301"/>
      <c r="C46" s="404" t="s">
        <v>809</v>
      </c>
      <c r="D46" s="405" t="s">
        <v>810</v>
      </c>
      <c r="E46" s="404" t="s">
        <v>811</v>
      </c>
      <c r="F46" s="406" t="s">
        <v>812</v>
      </c>
      <c r="G46" s="404" t="s">
        <v>813</v>
      </c>
      <c r="H46" s="404" t="s">
        <v>693</v>
      </c>
      <c r="I46" s="657" t="s">
        <v>814</v>
      </c>
      <c r="J46" s="657"/>
    </row>
    <row r="47" spans="2:15" ht="20.25" customHeight="1" x14ac:dyDescent="0.25">
      <c r="B47" s="400"/>
      <c r="C47" s="407"/>
      <c r="D47" s="407"/>
      <c r="E47" s="407"/>
      <c r="F47" s="408"/>
      <c r="G47" s="294"/>
      <c r="H47" s="407"/>
      <c r="I47" s="658"/>
      <c r="J47" s="658"/>
    </row>
    <row r="48" spans="2:15" ht="20.25" customHeight="1" x14ac:dyDescent="0.25">
      <c r="B48" s="400" t="s">
        <v>877</v>
      </c>
      <c r="C48" s="407">
        <v>1.8</v>
      </c>
      <c r="D48" s="407">
        <v>1.7</v>
      </c>
      <c r="E48" s="407"/>
      <c r="F48" s="408"/>
      <c r="G48" s="407"/>
      <c r="H48" s="407">
        <f>+C48*D48</f>
        <v>3.06</v>
      </c>
      <c r="I48" s="658"/>
      <c r="J48" s="658"/>
    </row>
    <row r="49" spans="2:14" ht="20.25" customHeight="1" x14ac:dyDescent="0.25">
      <c r="B49" s="400" t="s">
        <v>878</v>
      </c>
      <c r="C49" s="407">
        <v>1.1000000000000001</v>
      </c>
      <c r="D49" s="407">
        <v>1.3</v>
      </c>
      <c r="E49" s="407"/>
      <c r="F49" s="408"/>
      <c r="G49" s="407"/>
      <c r="H49" s="407">
        <f>+C49*D49</f>
        <v>1.4300000000000002</v>
      </c>
      <c r="I49" s="658"/>
      <c r="J49" s="658"/>
    </row>
    <row r="50" spans="2:14" ht="20.25" customHeight="1" x14ac:dyDescent="0.25">
      <c r="B50" s="400" t="s">
        <v>879</v>
      </c>
      <c r="C50" s="407">
        <v>1.2</v>
      </c>
      <c r="D50" s="407">
        <v>1.2</v>
      </c>
      <c r="E50" s="407"/>
      <c r="F50" s="408"/>
      <c r="G50" s="407"/>
      <c r="H50" s="407">
        <f t="shared" ref="H50:H51" si="3">+C50*D50</f>
        <v>1.44</v>
      </c>
      <c r="I50" s="401"/>
      <c r="J50" s="401"/>
    </row>
    <row r="51" spans="2:14" ht="20.25" customHeight="1" x14ac:dyDescent="0.25">
      <c r="B51" s="400" t="s">
        <v>869</v>
      </c>
      <c r="C51" s="407">
        <v>1.3</v>
      </c>
      <c r="D51" s="407">
        <v>1.476923076923077</v>
      </c>
      <c r="E51" s="407"/>
      <c r="F51" s="408"/>
      <c r="G51" s="407"/>
      <c r="H51" s="407">
        <f t="shared" si="3"/>
        <v>1.9200000000000002</v>
      </c>
      <c r="I51" s="401"/>
      <c r="J51" s="401"/>
    </row>
    <row r="52" spans="2:14" ht="20.25" customHeight="1" x14ac:dyDescent="0.25">
      <c r="B52" s="300"/>
      <c r="C52" s="294"/>
      <c r="D52" s="294"/>
      <c r="E52" s="294"/>
      <c r="F52" s="295"/>
      <c r="G52" s="294" t="s">
        <v>693</v>
      </c>
      <c r="H52" s="407">
        <f>SUM(H47:H51)</f>
        <v>7.85</v>
      </c>
      <c r="I52" s="654"/>
      <c r="J52" s="654"/>
    </row>
    <row r="53" spans="2:14" ht="20.25" customHeight="1" x14ac:dyDescent="0.25">
      <c r="B53" s="300"/>
      <c r="C53" s="294"/>
      <c r="D53" s="294"/>
      <c r="E53" s="294"/>
      <c r="F53" s="295"/>
      <c r="G53" s="294"/>
      <c r="H53" s="294"/>
      <c r="I53" s="301"/>
      <c r="J53" s="289"/>
    </row>
    <row r="54" spans="2:14" ht="20.25" customHeight="1" x14ac:dyDescent="0.25">
      <c r="B54" s="305"/>
      <c r="C54" s="305"/>
      <c r="D54" s="305"/>
      <c r="E54" s="305"/>
      <c r="F54" s="305"/>
      <c r="G54" s="305"/>
      <c r="H54" s="306"/>
      <c r="I54" s="301"/>
    </row>
    <row r="55" spans="2:14" ht="21" customHeight="1" x14ac:dyDescent="0.25">
      <c r="F55" s="284"/>
    </row>
    <row r="56" spans="2:14" ht="56.25" customHeight="1" x14ac:dyDescent="0.25">
      <c r="B56" s="659" t="s">
        <v>805</v>
      </c>
      <c r="C56" s="659"/>
      <c r="D56" s="659"/>
      <c r="E56" s="659"/>
      <c r="F56" s="659"/>
      <c r="G56" s="660"/>
      <c r="H56" s="660"/>
      <c r="I56" s="660"/>
      <c r="J56" s="660"/>
    </row>
    <row r="57" spans="2:14" x14ac:dyDescent="0.25">
      <c r="B57" s="655" t="str">
        <f>+'ACTA 2'!B19</f>
        <v>Excavaciones en material comun y/o conglomerado sin entibados Prof=0-2,50 mts</v>
      </c>
      <c r="C57" s="655"/>
      <c r="D57" s="655"/>
      <c r="E57" s="655"/>
      <c r="F57" s="655"/>
      <c r="G57" s="655" t="str">
        <f>+'ACTA 2'!C19</f>
        <v>M3</v>
      </c>
      <c r="H57" s="655"/>
      <c r="I57" s="655"/>
    </row>
    <row r="58" spans="2:14" ht="9.9499999999999993" customHeight="1" x14ac:dyDescent="0.25">
      <c r="B58" s="289"/>
      <c r="C58" s="290"/>
      <c r="D58" s="290"/>
      <c r="E58" s="290"/>
      <c r="F58" s="291"/>
      <c r="G58" s="290"/>
      <c r="H58" s="290"/>
      <c r="I58" s="292"/>
      <c r="J58" s="289"/>
    </row>
    <row r="59" spans="2:14" ht="9.9499999999999993" customHeight="1" x14ac:dyDescent="0.25">
      <c r="B59" s="656"/>
      <c r="C59" s="656"/>
      <c r="D59" s="294"/>
      <c r="E59" s="294"/>
      <c r="F59" s="295"/>
      <c r="G59" s="294"/>
      <c r="I59" s="402"/>
      <c r="J59" s="403"/>
    </row>
    <row r="60" spans="2:14" ht="38.25" customHeight="1" x14ac:dyDescent="0.25">
      <c r="B60" s="301"/>
      <c r="C60" s="404" t="s">
        <v>809</v>
      </c>
      <c r="D60" s="405" t="s">
        <v>810</v>
      </c>
      <c r="E60" s="404" t="s">
        <v>811</v>
      </c>
      <c r="F60" s="406" t="s">
        <v>812</v>
      </c>
      <c r="G60" s="404" t="s">
        <v>813</v>
      </c>
      <c r="H60" s="404" t="s">
        <v>693</v>
      </c>
      <c r="I60" s="657" t="s">
        <v>814</v>
      </c>
      <c r="J60" s="657"/>
    </row>
    <row r="61" spans="2:14" ht="20.25" customHeight="1" x14ac:dyDescent="0.25">
      <c r="B61" s="400"/>
      <c r="C61" s="280"/>
      <c r="D61" s="280"/>
      <c r="E61" s="280"/>
      <c r="F61" s="408"/>
      <c r="G61" s="294"/>
      <c r="H61" s="407"/>
      <c r="I61" s="658"/>
      <c r="J61" s="658"/>
    </row>
    <row r="62" spans="2:14" ht="20.25" customHeight="1" x14ac:dyDescent="0.25">
      <c r="B62" s="400" t="s">
        <v>868</v>
      </c>
      <c r="C62" s="407">
        <v>0.9</v>
      </c>
      <c r="D62" s="407">
        <v>1</v>
      </c>
      <c r="E62" s="407">
        <v>1</v>
      </c>
      <c r="F62" s="408"/>
      <c r="G62" s="294"/>
      <c r="H62" s="407">
        <f>+ROUND(E62*D62*C62,2)</f>
        <v>0.9</v>
      </c>
      <c r="I62" s="658"/>
      <c r="J62" s="658"/>
    </row>
    <row r="63" spans="2:14" ht="20.25" customHeight="1" x14ac:dyDescent="0.25">
      <c r="B63" s="400" t="s">
        <v>868</v>
      </c>
      <c r="C63" s="407">
        <v>1</v>
      </c>
      <c r="D63" s="407">
        <v>1</v>
      </c>
      <c r="E63" s="407">
        <v>1</v>
      </c>
      <c r="F63" s="408"/>
      <c r="G63" s="294"/>
      <c r="H63" s="407">
        <f t="shared" ref="H63:H69" si="4">+ROUND(E63*D63*C63,2)</f>
        <v>1</v>
      </c>
      <c r="I63" s="658"/>
      <c r="J63" s="658"/>
      <c r="N63" s="266">
        <v>13.5</v>
      </c>
    </row>
    <row r="64" spans="2:14" ht="20.25" customHeight="1" x14ac:dyDescent="0.25">
      <c r="B64" s="400" t="s">
        <v>868</v>
      </c>
      <c r="C64" s="407">
        <v>1.1000000000000001</v>
      </c>
      <c r="D64" s="407">
        <v>1.2</v>
      </c>
      <c r="E64" s="407">
        <v>1.3</v>
      </c>
      <c r="F64" s="408"/>
      <c r="G64" s="294"/>
      <c r="H64" s="407">
        <f t="shared" si="4"/>
        <v>1.72</v>
      </c>
      <c r="I64" s="658"/>
      <c r="J64" s="658"/>
      <c r="N64" s="266">
        <v>4.3</v>
      </c>
    </row>
    <row r="65" spans="2:14" ht="20.25" customHeight="1" x14ac:dyDescent="0.25">
      <c r="B65" s="400" t="s">
        <v>868</v>
      </c>
      <c r="C65" s="407">
        <v>1</v>
      </c>
      <c r="D65" s="407">
        <v>1</v>
      </c>
      <c r="E65" s="407">
        <v>1</v>
      </c>
      <c r="F65" s="408"/>
      <c r="G65" s="407"/>
      <c r="H65" s="407">
        <f t="shared" si="4"/>
        <v>1</v>
      </c>
      <c r="I65" s="658"/>
      <c r="J65" s="658"/>
      <c r="N65" s="266">
        <v>18</v>
      </c>
    </row>
    <row r="66" spans="2:14" ht="20.25" customHeight="1" x14ac:dyDescent="0.25">
      <c r="B66" s="400" t="s">
        <v>862</v>
      </c>
      <c r="C66" s="407">
        <v>1</v>
      </c>
      <c r="D66" s="407">
        <v>1</v>
      </c>
      <c r="E66" s="407">
        <v>1</v>
      </c>
      <c r="F66" s="408"/>
      <c r="G66" s="407"/>
      <c r="H66" s="407">
        <f t="shared" si="4"/>
        <v>1</v>
      </c>
      <c r="I66" s="658"/>
      <c r="J66" s="658"/>
    </row>
    <row r="67" spans="2:14" x14ac:dyDescent="0.25">
      <c r="B67" s="409" t="s">
        <v>862</v>
      </c>
      <c r="C67" s="407">
        <v>1.2</v>
      </c>
      <c r="D67" s="407">
        <v>1.2</v>
      </c>
      <c r="E67" s="407">
        <v>1.3</v>
      </c>
      <c r="F67" s="408"/>
      <c r="G67" s="407"/>
      <c r="H67" s="407">
        <f t="shared" si="4"/>
        <v>1.87</v>
      </c>
      <c r="I67" s="658"/>
      <c r="J67" s="658"/>
    </row>
    <row r="68" spans="2:14" x14ac:dyDescent="0.25">
      <c r="B68" s="409" t="s">
        <v>879</v>
      </c>
      <c r="C68" s="407">
        <v>1.5</v>
      </c>
      <c r="D68" s="407">
        <v>1.5</v>
      </c>
      <c r="E68" s="407">
        <v>1.1000000000000001</v>
      </c>
      <c r="F68" s="408"/>
      <c r="G68" s="407"/>
      <c r="H68" s="407">
        <f t="shared" si="4"/>
        <v>2.48</v>
      </c>
      <c r="I68" s="401"/>
      <c r="J68" s="401"/>
    </row>
    <row r="69" spans="2:14" ht="20.25" customHeight="1" x14ac:dyDescent="0.25">
      <c r="B69" s="409" t="s">
        <v>879</v>
      </c>
      <c r="C69" s="407">
        <v>1.4749999999999992</v>
      </c>
      <c r="D69" s="407">
        <v>1.4</v>
      </c>
      <c r="E69" s="407">
        <v>1.4</v>
      </c>
      <c r="F69" s="408"/>
      <c r="G69" s="407"/>
      <c r="H69" s="407">
        <f t="shared" si="4"/>
        <v>2.89</v>
      </c>
      <c r="I69" s="401"/>
      <c r="J69" s="401"/>
    </row>
    <row r="70" spans="2:14" ht="20.25" customHeight="1" x14ac:dyDescent="0.25">
      <c r="B70" s="300"/>
      <c r="C70" s="294"/>
      <c r="D70" s="294"/>
      <c r="E70" s="294"/>
      <c r="F70" s="295"/>
      <c r="G70" s="294" t="s">
        <v>693</v>
      </c>
      <c r="H70" s="407">
        <f>SUM(H61:H69)</f>
        <v>12.860000000000001</v>
      </c>
      <c r="I70" s="654"/>
      <c r="J70" s="654"/>
    </row>
    <row r="71" spans="2:14" ht="20.25" customHeight="1" x14ac:dyDescent="0.25">
      <c r="B71" s="300"/>
      <c r="C71" s="294"/>
      <c r="D71" s="294"/>
      <c r="E71" s="294"/>
      <c r="F71" s="295"/>
      <c r="G71" s="294"/>
      <c r="H71" s="294"/>
      <c r="I71" s="301"/>
      <c r="J71" s="289"/>
    </row>
    <row r="72" spans="2:14" ht="18.75" customHeight="1" x14ac:dyDescent="0.25">
      <c r="F72" s="284"/>
    </row>
    <row r="73" spans="2:14" ht="18" customHeight="1" x14ac:dyDescent="0.25">
      <c r="F73" s="284"/>
    </row>
    <row r="74" spans="2:14" ht="56.25" customHeight="1" x14ac:dyDescent="0.25">
      <c r="B74" s="659" t="s">
        <v>805</v>
      </c>
      <c r="C74" s="659"/>
      <c r="D74" s="659"/>
      <c r="E74" s="659"/>
      <c r="F74" s="659"/>
      <c r="G74" s="660"/>
      <c r="H74" s="660"/>
      <c r="I74" s="660"/>
      <c r="J74" s="660"/>
    </row>
    <row r="75" spans="2:14" x14ac:dyDescent="0.25">
      <c r="B75" s="655" t="str">
        <f>+'ACTA 2'!B20</f>
        <v>Relleno en material común compactado</v>
      </c>
      <c r="C75" s="655"/>
      <c r="D75" s="655"/>
      <c r="E75" s="655"/>
      <c r="F75" s="655"/>
      <c r="G75" s="655" t="str">
        <f>+'ACTA 2'!C20</f>
        <v>M3</v>
      </c>
      <c r="H75" s="655"/>
      <c r="I75" s="655"/>
    </row>
    <row r="76" spans="2:14" ht="9.9499999999999993" customHeight="1" x14ac:dyDescent="0.25">
      <c r="B76" s="289"/>
      <c r="C76" s="290"/>
      <c r="D76" s="290"/>
      <c r="E76" s="290"/>
      <c r="F76" s="291"/>
      <c r="G76" s="290"/>
      <c r="H76" s="290"/>
      <c r="I76" s="292"/>
      <c r="J76" s="289"/>
    </row>
    <row r="77" spans="2:14" ht="9.9499999999999993" customHeight="1" x14ac:dyDescent="0.25">
      <c r="B77" s="656"/>
      <c r="C77" s="656"/>
      <c r="D77" s="294"/>
      <c r="E77" s="294"/>
      <c r="F77" s="295"/>
      <c r="G77" s="294"/>
      <c r="I77" s="402"/>
      <c r="J77" s="403"/>
    </row>
    <row r="78" spans="2:14" ht="38.25" customHeight="1" x14ac:dyDescent="0.25">
      <c r="B78" s="301"/>
      <c r="C78" s="404" t="s">
        <v>809</v>
      </c>
      <c r="D78" s="405" t="s">
        <v>810</v>
      </c>
      <c r="E78" s="404" t="s">
        <v>811</v>
      </c>
      <c r="F78" s="406" t="s">
        <v>812</v>
      </c>
      <c r="G78" s="404" t="s">
        <v>813</v>
      </c>
      <c r="H78" s="404" t="s">
        <v>693</v>
      </c>
      <c r="I78" s="657" t="s">
        <v>814</v>
      </c>
      <c r="J78" s="657"/>
    </row>
    <row r="79" spans="2:14" ht="20.25" customHeight="1" x14ac:dyDescent="0.25">
      <c r="B79" s="400"/>
      <c r="C79" s="407"/>
      <c r="D79" s="407"/>
      <c r="E79" s="407"/>
      <c r="F79" s="408"/>
      <c r="G79" s="294"/>
      <c r="H79" s="407"/>
      <c r="I79" s="658"/>
      <c r="J79" s="658"/>
    </row>
    <row r="80" spans="2:14" ht="20.25" customHeight="1" x14ac:dyDescent="0.25">
      <c r="B80" s="400" t="s">
        <v>868</v>
      </c>
      <c r="C80" s="407">
        <v>1</v>
      </c>
      <c r="D80" s="407">
        <v>0.5</v>
      </c>
      <c r="E80" s="407">
        <v>0.7</v>
      </c>
      <c r="F80" s="408"/>
      <c r="G80" s="294"/>
      <c r="H80" s="407">
        <f>+ROUND(E80*D80*C80,2)</f>
        <v>0.35</v>
      </c>
      <c r="I80" s="658"/>
      <c r="J80" s="658"/>
    </row>
    <row r="81" spans="2:13" ht="20.25" customHeight="1" x14ac:dyDescent="0.25">
      <c r="B81" s="400" t="s">
        <v>868</v>
      </c>
      <c r="C81" s="407">
        <v>1</v>
      </c>
      <c r="D81" s="407">
        <v>0.7</v>
      </c>
      <c r="E81" s="407">
        <v>0.7</v>
      </c>
      <c r="F81" s="408"/>
      <c r="G81" s="294"/>
      <c r="H81" s="407">
        <f t="shared" ref="H81:H87" si="5">+ROUND(E81*D81*C81,2)</f>
        <v>0.49</v>
      </c>
      <c r="I81" s="658"/>
      <c r="J81" s="658"/>
    </row>
    <row r="82" spans="2:13" ht="20.25" customHeight="1" x14ac:dyDescent="0.25">
      <c r="B82" s="400" t="s">
        <v>868</v>
      </c>
      <c r="C82" s="407">
        <v>0.4</v>
      </c>
      <c r="D82" s="407">
        <v>1</v>
      </c>
      <c r="E82" s="407">
        <v>0.6</v>
      </c>
      <c r="F82" s="408"/>
      <c r="G82" s="294"/>
      <c r="H82" s="407">
        <f t="shared" si="5"/>
        <v>0.24</v>
      </c>
      <c r="I82" s="658"/>
      <c r="J82" s="658"/>
    </row>
    <row r="83" spans="2:13" ht="20.25" customHeight="1" x14ac:dyDescent="0.25">
      <c r="B83" s="400" t="s">
        <v>868</v>
      </c>
      <c r="C83" s="407">
        <v>1</v>
      </c>
      <c r="D83" s="407">
        <v>1</v>
      </c>
      <c r="E83" s="407">
        <v>0.9</v>
      </c>
      <c r="F83" s="408"/>
      <c r="G83" s="407"/>
      <c r="H83" s="407">
        <f t="shared" si="5"/>
        <v>0.9</v>
      </c>
      <c r="I83" s="658"/>
      <c r="J83" s="658"/>
    </row>
    <row r="84" spans="2:13" ht="20.25" customHeight="1" x14ac:dyDescent="0.25">
      <c r="B84" s="400" t="s">
        <v>862</v>
      </c>
      <c r="C84" s="407">
        <v>0.8</v>
      </c>
      <c r="D84" s="407">
        <v>0.9</v>
      </c>
      <c r="E84" s="407">
        <v>0.8</v>
      </c>
      <c r="F84" s="408"/>
      <c r="G84" s="407"/>
      <c r="H84" s="407">
        <f t="shared" si="5"/>
        <v>0.57999999999999996</v>
      </c>
      <c r="I84" s="658"/>
      <c r="J84" s="658"/>
    </row>
    <row r="85" spans="2:13" ht="20.25" customHeight="1" x14ac:dyDescent="0.25">
      <c r="B85" s="409" t="s">
        <v>862</v>
      </c>
      <c r="C85" s="407">
        <v>0.8</v>
      </c>
      <c r="D85" s="407">
        <v>0.8</v>
      </c>
      <c r="E85" s="407">
        <v>0.8</v>
      </c>
      <c r="F85" s="408"/>
      <c r="G85" s="407"/>
      <c r="H85" s="407">
        <f t="shared" si="5"/>
        <v>0.51</v>
      </c>
      <c r="I85" s="658"/>
      <c r="J85" s="658"/>
    </row>
    <row r="86" spans="2:13" x14ac:dyDescent="0.25">
      <c r="B86" s="409" t="s">
        <v>879</v>
      </c>
      <c r="C86" s="407">
        <v>1.3</v>
      </c>
      <c r="D86" s="407">
        <v>1.1000000000000001</v>
      </c>
      <c r="E86" s="407">
        <v>1</v>
      </c>
      <c r="F86" s="408"/>
      <c r="G86" s="407"/>
      <c r="H86" s="407">
        <f t="shared" si="5"/>
        <v>1.43</v>
      </c>
      <c r="I86" s="658"/>
      <c r="J86" s="658"/>
    </row>
    <row r="87" spans="2:13" ht="20.25" customHeight="1" x14ac:dyDescent="0.25">
      <c r="B87" s="409" t="s">
        <v>879</v>
      </c>
      <c r="C87" s="407">
        <v>1.2</v>
      </c>
      <c r="D87" s="407">
        <v>1.1000000000000001</v>
      </c>
      <c r="E87" s="407">
        <v>0.98499999999999932</v>
      </c>
      <c r="F87" s="408"/>
      <c r="G87" s="407"/>
      <c r="H87" s="407">
        <f t="shared" si="5"/>
        <v>1.3</v>
      </c>
      <c r="I87" s="401"/>
      <c r="J87" s="401"/>
    </row>
    <row r="88" spans="2:13" ht="20.25" customHeight="1" x14ac:dyDescent="0.25">
      <c r="B88" s="300"/>
      <c r="C88" s="294"/>
      <c r="D88" s="294"/>
      <c r="E88" s="294"/>
      <c r="F88" s="295"/>
      <c r="G88" s="294" t="s">
        <v>693</v>
      </c>
      <c r="H88" s="407">
        <f>SUM(H79:H87)</f>
        <v>5.8</v>
      </c>
      <c r="I88" s="654"/>
      <c r="J88" s="654"/>
    </row>
    <row r="89" spans="2:13" ht="20.25" customHeight="1" x14ac:dyDescent="0.25">
      <c r="B89" s="300"/>
      <c r="C89" s="294"/>
      <c r="D89" s="294"/>
      <c r="E89" s="294"/>
      <c r="F89" s="295"/>
      <c r="G89" s="294"/>
      <c r="H89" s="294"/>
      <c r="I89" s="301"/>
      <c r="J89" s="289"/>
    </row>
    <row r="90" spans="2:13" x14ac:dyDescent="0.25">
      <c r="F90" s="284"/>
    </row>
    <row r="91" spans="2:13" x14ac:dyDescent="0.25">
      <c r="F91" s="284"/>
    </row>
    <row r="92" spans="2:13" ht="56.25" customHeight="1" x14ac:dyDescent="0.25">
      <c r="B92" s="659" t="s">
        <v>805</v>
      </c>
      <c r="C92" s="659"/>
      <c r="D92" s="659"/>
      <c r="E92" s="659"/>
      <c r="F92" s="659"/>
      <c r="G92" s="660"/>
      <c r="H92" s="660"/>
      <c r="I92" s="660"/>
      <c r="J92" s="660"/>
    </row>
    <row r="93" spans="2:13" x14ac:dyDescent="0.25">
      <c r="B93" s="655" t="str">
        <f>+'ACTA 2'!B21</f>
        <v>Acarreo y retiro de sobrantes</v>
      </c>
      <c r="C93" s="655"/>
      <c r="D93" s="655"/>
      <c r="E93" s="655"/>
      <c r="F93" s="655"/>
      <c r="G93" s="655" t="str">
        <f>+'ACTA 2'!C21</f>
        <v>M3</v>
      </c>
      <c r="H93" s="655"/>
      <c r="I93" s="655"/>
    </row>
    <row r="94" spans="2:13" ht="9.9499999999999993" customHeight="1" x14ac:dyDescent="0.25">
      <c r="B94" s="289"/>
      <c r="C94" s="290"/>
      <c r="D94" s="290"/>
      <c r="E94" s="290"/>
      <c r="F94" s="291"/>
      <c r="G94" s="290"/>
      <c r="H94" s="290"/>
      <c r="I94" s="292"/>
      <c r="J94" s="289"/>
    </row>
    <row r="95" spans="2:13" ht="9.9499999999999993" customHeight="1" x14ac:dyDescent="0.25">
      <c r="B95" s="656"/>
      <c r="C95" s="656"/>
      <c r="D95" s="294"/>
      <c r="E95" s="294"/>
      <c r="F95" s="295"/>
      <c r="G95" s="294"/>
      <c r="I95" s="402"/>
      <c r="J95" s="403"/>
    </row>
    <row r="96" spans="2:13" ht="38.25" customHeight="1" x14ac:dyDescent="0.25">
      <c r="B96" s="301"/>
      <c r="C96" s="404" t="s">
        <v>809</v>
      </c>
      <c r="D96" s="405" t="s">
        <v>810</v>
      </c>
      <c r="E96" s="404" t="s">
        <v>811</v>
      </c>
      <c r="F96" s="406" t="s">
        <v>812</v>
      </c>
      <c r="G96" s="404" t="s">
        <v>813</v>
      </c>
      <c r="H96" s="404" t="s">
        <v>693</v>
      </c>
      <c r="I96" s="657" t="s">
        <v>814</v>
      </c>
      <c r="J96" s="657"/>
      <c r="M96" s="280">
        <v>30.64</v>
      </c>
    </row>
    <row r="97" spans="2:17" ht="20.25" customHeight="1" x14ac:dyDescent="0.25">
      <c r="B97" s="400"/>
      <c r="C97" s="407"/>
      <c r="D97" s="407"/>
      <c r="E97" s="407"/>
      <c r="F97" s="408"/>
      <c r="G97" s="294"/>
      <c r="H97" s="407"/>
      <c r="I97" s="658"/>
      <c r="J97" s="658"/>
      <c r="M97" s="399"/>
    </row>
    <row r="98" spans="2:17" ht="20.25" customHeight="1" x14ac:dyDescent="0.25">
      <c r="B98" s="400" t="s">
        <v>821</v>
      </c>
      <c r="C98" s="407"/>
      <c r="D98" s="407"/>
      <c r="E98" s="407"/>
      <c r="F98" s="408"/>
      <c r="G98" s="407">
        <f>30.64/6</f>
        <v>5.1066666666666665</v>
      </c>
      <c r="H98" s="407">
        <f>6*G98</f>
        <v>30.64</v>
      </c>
      <c r="I98" s="658"/>
      <c r="J98" s="658"/>
    </row>
    <row r="99" spans="2:17" ht="20.25" customHeight="1" x14ac:dyDescent="0.25">
      <c r="B99" s="400"/>
      <c r="C99" s="407"/>
      <c r="D99" s="407"/>
      <c r="E99" s="407"/>
      <c r="F99" s="408"/>
      <c r="G99" s="407"/>
      <c r="H99" s="407"/>
      <c r="I99" s="658"/>
      <c r="J99" s="658"/>
    </row>
    <row r="100" spans="2:17" ht="20.25" customHeight="1" x14ac:dyDescent="0.25">
      <c r="B100" s="400"/>
      <c r="C100" s="407"/>
      <c r="D100" s="407"/>
      <c r="E100" s="407"/>
      <c r="F100" s="408"/>
      <c r="G100" s="407"/>
      <c r="H100" s="407"/>
      <c r="I100" s="401"/>
      <c r="J100" s="401"/>
    </row>
    <row r="101" spans="2:17" ht="20.25" customHeight="1" x14ac:dyDescent="0.25">
      <c r="B101" s="300"/>
      <c r="C101" s="294"/>
      <c r="D101" s="294"/>
      <c r="E101" s="294"/>
      <c r="F101" s="295"/>
      <c r="G101" s="294" t="s">
        <v>693</v>
      </c>
      <c r="H101" s="407">
        <f>SUM(H97:H100)</f>
        <v>30.64</v>
      </c>
      <c r="I101" s="654"/>
      <c r="J101" s="654"/>
    </row>
    <row r="102" spans="2:17" ht="20.25" customHeight="1" x14ac:dyDescent="0.25">
      <c r="B102" s="300"/>
      <c r="C102" s="294"/>
      <c r="D102" s="294"/>
      <c r="E102" s="294"/>
      <c r="F102" s="295"/>
      <c r="G102" s="294"/>
      <c r="H102" s="294"/>
      <c r="I102" s="301"/>
      <c r="J102" s="289"/>
    </row>
    <row r="103" spans="2:17" ht="18" customHeight="1" x14ac:dyDescent="0.25">
      <c r="F103" s="284"/>
    </row>
    <row r="104" spans="2:17" ht="21" customHeight="1" x14ac:dyDescent="0.25">
      <c r="F104" s="284"/>
    </row>
    <row r="105" spans="2:17" ht="56.25" customHeight="1" x14ac:dyDescent="0.25">
      <c r="B105" s="659" t="s">
        <v>805</v>
      </c>
      <c r="C105" s="659"/>
      <c r="D105" s="659"/>
      <c r="E105" s="659"/>
      <c r="F105" s="659"/>
      <c r="G105" s="660"/>
      <c r="H105" s="660"/>
      <c r="I105" s="660"/>
      <c r="J105" s="660"/>
    </row>
    <row r="106" spans="2:17" x14ac:dyDescent="0.25">
      <c r="B106" s="655" t="str">
        <f>+'ACTA 2'!B24</f>
        <v>Caja para válvula placa en concreto incluye tapa en HD</v>
      </c>
      <c r="C106" s="655"/>
      <c r="D106" s="655"/>
      <c r="E106" s="655"/>
      <c r="F106" s="655"/>
      <c r="G106" s="655" t="str">
        <f>+'ACTA 2'!C24</f>
        <v>UND</v>
      </c>
      <c r="H106" s="655"/>
      <c r="I106" s="655"/>
    </row>
    <row r="107" spans="2:17" ht="9.9499999999999993" customHeight="1" x14ac:dyDescent="0.25">
      <c r="B107" s="289"/>
      <c r="C107" s="290"/>
      <c r="D107" s="290"/>
      <c r="E107" s="290"/>
      <c r="F107" s="291"/>
      <c r="G107" s="290"/>
      <c r="H107" s="290"/>
      <c r="I107" s="292"/>
      <c r="J107" s="289"/>
    </row>
    <row r="108" spans="2:17" ht="9.9499999999999993" customHeight="1" x14ac:dyDescent="0.25">
      <c r="B108" s="656"/>
      <c r="C108" s="656"/>
      <c r="D108" s="294"/>
      <c r="E108" s="294"/>
      <c r="F108" s="295"/>
      <c r="G108" s="294"/>
      <c r="I108" s="402"/>
      <c r="J108" s="403"/>
    </row>
    <row r="109" spans="2:17" ht="38.25" customHeight="1" x14ac:dyDescent="0.25">
      <c r="B109" s="301"/>
      <c r="C109" s="404" t="s">
        <v>809</v>
      </c>
      <c r="D109" s="405" t="s">
        <v>810</v>
      </c>
      <c r="E109" s="404" t="s">
        <v>811</v>
      </c>
      <c r="F109" s="406" t="s">
        <v>812</v>
      </c>
      <c r="G109" s="404" t="s">
        <v>813</v>
      </c>
      <c r="H109" s="404" t="s">
        <v>693</v>
      </c>
      <c r="I109" s="657" t="s">
        <v>814</v>
      </c>
      <c r="J109" s="657"/>
    </row>
    <row r="110" spans="2:17" ht="20.25" customHeight="1" x14ac:dyDescent="0.25">
      <c r="B110" s="400"/>
      <c r="C110" s="407"/>
      <c r="D110" s="407"/>
      <c r="E110" s="407"/>
      <c r="F110" s="408"/>
      <c r="G110" s="294"/>
      <c r="H110" s="407"/>
      <c r="I110" s="410"/>
      <c r="J110" s="410"/>
    </row>
    <row r="111" spans="2:17" ht="20.25" customHeight="1" x14ac:dyDescent="0.25">
      <c r="B111" s="400" t="s">
        <v>881</v>
      </c>
      <c r="C111" s="407"/>
      <c r="D111" s="407"/>
      <c r="E111" s="407"/>
      <c r="F111" s="408"/>
      <c r="G111" s="407">
        <v>1</v>
      </c>
      <c r="H111" s="407">
        <f>+G111</f>
        <v>1</v>
      </c>
      <c r="I111" s="410"/>
      <c r="J111" s="410"/>
      <c r="Q111" s="296" t="s">
        <v>853</v>
      </c>
    </row>
    <row r="112" spans="2:17" ht="20.25" customHeight="1" x14ac:dyDescent="0.25">
      <c r="B112" s="400" t="s">
        <v>878</v>
      </c>
      <c r="C112" s="407"/>
      <c r="D112" s="407"/>
      <c r="E112" s="407"/>
      <c r="F112" s="408"/>
      <c r="G112" s="407">
        <v>1</v>
      </c>
      <c r="H112" s="407">
        <f t="shared" ref="H112:H114" si="6">+G112</f>
        <v>1</v>
      </c>
      <c r="I112" s="410"/>
      <c r="J112" s="410"/>
      <c r="Q112" s="296" t="s">
        <v>822</v>
      </c>
    </row>
    <row r="113" spans="2:17" ht="20.25" customHeight="1" x14ac:dyDescent="0.25">
      <c r="B113" s="400" t="s">
        <v>877</v>
      </c>
      <c r="C113" s="407"/>
      <c r="D113" s="407"/>
      <c r="E113" s="407"/>
      <c r="F113" s="408"/>
      <c r="G113" s="407">
        <v>1</v>
      </c>
      <c r="H113" s="407">
        <f t="shared" si="6"/>
        <v>1</v>
      </c>
      <c r="I113" s="410"/>
      <c r="J113" s="410"/>
      <c r="Q113" s="296" t="s">
        <v>854</v>
      </c>
    </row>
    <row r="114" spans="2:17" ht="20.25" customHeight="1" x14ac:dyDescent="0.25">
      <c r="B114" s="400" t="s">
        <v>881</v>
      </c>
      <c r="C114" s="407"/>
      <c r="D114" s="407"/>
      <c r="E114" s="407"/>
      <c r="F114" s="408"/>
      <c r="G114" s="407">
        <v>1</v>
      </c>
      <c r="H114" s="407">
        <f t="shared" si="6"/>
        <v>1</v>
      </c>
      <c r="I114" s="410"/>
      <c r="J114" s="410"/>
      <c r="Q114" s="396" t="s">
        <v>855</v>
      </c>
    </row>
    <row r="115" spans="2:17" ht="20.25" customHeight="1" x14ac:dyDescent="0.25">
      <c r="B115" s="300"/>
      <c r="C115" s="294"/>
      <c r="D115" s="294"/>
      <c r="E115" s="294"/>
      <c r="F115" s="295"/>
      <c r="G115" s="294" t="s">
        <v>693</v>
      </c>
      <c r="H115" s="407">
        <f>SUM(H110:H114)</f>
        <v>4</v>
      </c>
      <c r="I115" s="654"/>
      <c r="J115" s="654"/>
      <c r="Q115" s="296" t="s">
        <v>856</v>
      </c>
    </row>
    <row r="116" spans="2:17" ht="20.25" customHeight="1" x14ac:dyDescent="0.25">
      <c r="B116" s="300"/>
      <c r="C116" s="294"/>
      <c r="D116" s="294"/>
      <c r="E116" s="294"/>
      <c r="F116" s="295"/>
      <c r="G116" s="294"/>
      <c r="H116" s="294"/>
      <c r="I116" s="301"/>
      <c r="J116" s="289"/>
      <c r="Q116" s="296" t="s">
        <v>862</v>
      </c>
    </row>
    <row r="117" spans="2:17" ht="20.25" customHeight="1" x14ac:dyDescent="0.25">
      <c r="B117" s="305"/>
      <c r="C117" s="305"/>
      <c r="D117" s="305"/>
      <c r="E117" s="305"/>
      <c r="F117" s="305"/>
      <c r="G117" s="305"/>
      <c r="H117" s="306"/>
      <c r="I117" s="301"/>
      <c r="Q117" s="296" t="s">
        <v>860</v>
      </c>
    </row>
    <row r="118" spans="2:17" ht="20.25" customHeight="1" x14ac:dyDescent="0.25">
      <c r="B118" s="305"/>
      <c r="C118" s="305"/>
      <c r="D118" s="305"/>
      <c r="E118" s="305"/>
      <c r="F118" s="305"/>
      <c r="G118" s="305"/>
      <c r="H118" s="306"/>
      <c r="I118" s="301"/>
      <c r="Q118" s="296" t="s">
        <v>861</v>
      </c>
    </row>
    <row r="119" spans="2:17" ht="20.25" customHeight="1" x14ac:dyDescent="0.25">
      <c r="F119" s="284"/>
      <c r="Q119" s="296" t="s">
        <v>863</v>
      </c>
    </row>
    <row r="120" spans="2:17" ht="40.5" customHeight="1" x14ac:dyDescent="0.25">
      <c r="B120" s="659" t="s">
        <v>805</v>
      </c>
      <c r="C120" s="659"/>
      <c r="D120" s="659"/>
      <c r="E120" s="659"/>
      <c r="F120" s="659"/>
      <c r="G120" s="660"/>
      <c r="H120" s="660"/>
      <c r="I120" s="660"/>
      <c r="J120" s="660"/>
      <c r="Q120" s="296" t="s">
        <v>864</v>
      </c>
    </row>
    <row r="121" spans="2:17" ht="15.75" customHeight="1" x14ac:dyDescent="0.25">
      <c r="B121" s="655" t="str">
        <f>+'ACTA 2'!B25</f>
        <v>rehabilitación caja para válvula placa en concreto incluye tapa en HD</v>
      </c>
      <c r="C121" s="655"/>
      <c r="D121" s="655"/>
      <c r="E121" s="655"/>
      <c r="F121" s="655"/>
      <c r="G121" s="655" t="str">
        <f>+'ACTA 2'!C25</f>
        <v>UND</v>
      </c>
      <c r="H121" s="655"/>
      <c r="I121" s="655"/>
      <c r="K121" s="286"/>
      <c r="L121" s="286"/>
      <c r="M121" s="286"/>
      <c r="N121" s="286"/>
    </row>
    <row r="122" spans="2:17" ht="35.1" customHeight="1" x14ac:dyDescent="0.25">
      <c r="B122" s="289"/>
      <c r="C122" s="290"/>
      <c r="D122" s="290"/>
      <c r="E122" s="290"/>
      <c r="F122" s="291"/>
      <c r="G122" s="290"/>
      <c r="H122" s="290"/>
      <c r="I122" s="292"/>
      <c r="J122" s="289"/>
      <c r="K122" s="286"/>
      <c r="L122" s="286"/>
      <c r="M122" s="286"/>
      <c r="N122" s="286"/>
    </row>
    <row r="123" spans="2:17" x14ac:dyDescent="0.25">
      <c r="B123" s="656"/>
      <c r="C123" s="656"/>
      <c r="D123" s="294"/>
      <c r="E123" s="294"/>
      <c r="F123" s="295"/>
      <c r="G123" s="294"/>
      <c r="I123" s="402"/>
      <c r="J123" s="403"/>
    </row>
    <row r="124" spans="2:17" x14ac:dyDescent="0.25">
      <c r="B124" s="301"/>
      <c r="C124" s="404" t="s">
        <v>809</v>
      </c>
      <c r="D124" s="405" t="s">
        <v>810</v>
      </c>
      <c r="E124" s="404" t="s">
        <v>811</v>
      </c>
      <c r="F124" s="406" t="s">
        <v>812</v>
      </c>
      <c r="G124" s="404" t="s">
        <v>813</v>
      </c>
      <c r="H124" s="404" t="s">
        <v>693</v>
      </c>
      <c r="I124" s="657" t="s">
        <v>814</v>
      </c>
      <c r="J124" s="657"/>
    </row>
    <row r="125" spans="2:17" x14ac:dyDescent="0.25">
      <c r="B125" s="400"/>
      <c r="C125" s="407"/>
      <c r="D125" s="407"/>
      <c r="E125" s="407"/>
      <c r="F125" s="408"/>
      <c r="G125" s="294"/>
      <c r="H125" s="407"/>
      <c r="I125" s="658"/>
      <c r="J125" s="658"/>
    </row>
    <row r="126" spans="2:17" x14ac:dyDescent="0.25">
      <c r="B126" s="411" t="s">
        <v>853</v>
      </c>
      <c r="C126" s="407"/>
      <c r="D126" s="407"/>
      <c r="E126" s="407"/>
      <c r="F126" s="408"/>
      <c r="G126" s="407">
        <v>1</v>
      </c>
      <c r="H126" s="407">
        <f>+G126</f>
        <v>1</v>
      </c>
      <c r="I126" s="658"/>
      <c r="J126" s="658"/>
    </row>
    <row r="127" spans="2:17" x14ac:dyDescent="0.25">
      <c r="B127" s="411" t="s">
        <v>853</v>
      </c>
      <c r="C127" s="407"/>
      <c r="D127" s="407"/>
      <c r="E127" s="407"/>
      <c r="F127" s="408"/>
      <c r="G127" s="407">
        <v>1</v>
      </c>
      <c r="H127" s="407">
        <f t="shared" ref="H127:H131" si="7">+G127</f>
        <v>1</v>
      </c>
      <c r="I127" s="658"/>
      <c r="J127" s="658"/>
    </row>
    <row r="128" spans="2:17" x14ac:dyDescent="0.25">
      <c r="B128" s="411" t="s">
        <v>853</v>
      </c>
      <c r="C128" s="407"/>
      <c r="D128" s="407"/>
      <c r="E128" s="407"/>
      <c r="F128" s="408"/>
      <c r="G128" s="407">
        <v>1</v>
      </c>
      <c r="H128" s="407">
        <f t="shared" si="7"/>
        <v>1</v>
      </c>
      <c r="I128" s="658"/>
      <c r="J128" s="658"/>
    </row>
    <row r="129" spans="2:14" x14ac:dyDescent="0.25">
      <c r="B129" s="411" t="s">
        <v>853</v>
      </c>
      <c r="C129" s="407"/>
      <c r="D129" s="407"/>
      <c r="E129" s="407"/>
      <c r="F129" s="408"/>
      <c r="G129" s="407">
        <v>1</v>
      </c>
      <c r="H129" s="407">
        <f t="shared" si="7"/>
        <v>1</v>
      </c>
      <c r="I129" s="658"/>
      <c r="J129" s="658"/>
    </row>
    <row r="130" spans="2:14" ht="32.25" customHeight="1" x14ac:dyDescent="0.25">
      <c r="B130" s="411" t="s">
        <v>858</v>
      </c>
      <c r="C130" s="407"/>
      <c r="D130" s="407"/>
      <c r="E130" s="407"/>
      <c r="F130" s="408"/>
      <c r="G130" s="407">
        <v>1</v>
      </c>
      <c r="H130" s="407">
        <f t="shared" si="7"/>
        <v>1</v>
      </c>
      <c r="I130" s="658"/>
      <c r="J130" s="658"/>
    </row>
    <row r="131" spans="2:14" x14ac:dyDescent="0.25">
      <c r="B131" s="411" t="s">
        <v>882</v>
      </c>
      <c r="C131" s="407"/>
      <c r="D131" s="407"/>
      <c r="E131" s="407"/>
      <c r="F131" s="408"/>
      <c r="G131" s="407">
        <v>1</v>
      </c>
      <c r="H131" s="407">
        <f t="shared" si="7"/>
        <v>1</v>
      </c>
      <c r="I131" s="658"/>
      <c r="J131" s="658"/>
    </row>
    <row r="132" spans="2:14" ht="20.25" customHeight="1" x14ac:dyDescent="0.25">
      <c r="B132" s="300"/>
      <c r="C132" s="294"/>
      <c r="D132" s="294"/>
      <c r="E132" s="294"/>
      <c r="F132" s="295"/>
      <c r="G132" s="294" t="s">
        <v>693</v>
      </c>
      <c r="H132" s="407">
        <f>SUM(H125:H131)</f>
        <v>6</v>
      </c>
      <c r="I132" s="654"/>
      <c r="J132" s="654"/>
    </row>
    <row r="133" spans="2:14" ht="20.25" customHeight="1" x14ac:dyDescent="0.25">
      <c r="B133" s="300"/>
      <c r="C133" s="294"/>
      <c r="D133" s="294"/>
      <c r="E133" s="294"/>
      <c r="F133" s="295"/>
      <c r="G133" s="294"/>
      <c r="H133" s="294"/>
      <c r="I133" s="301"/>
      <c r="J133" s="289"/>
    </row>
    <row r="134" spans="2:14" ht="20.25" customHeight="1" x14ac:dyDescent="0.25">
      <c r="F134" s="284"/>
    </row>
    <row r="135" spans="2:14" ht="20.25" customHeight="1" x14ac:dyDescent="0.25">
      <c r="F135" s="284"/>
    </row>
    <row r="136" spans="2:14" ht="42" customHeight="1" x14ac:dyDescent="0.25">
      <c r="B136" s="659" t="s">
        <v>805</v>
      </c>
      <c r="C136" s="659"/>
      <c r="D136" s="659"/>
      <c r="E136" s="659"/>
      <c r="F136" s="659"/>
      <c r="G136" s="660"/>
      <c r="H136" s="660"/>
      <c r="I136" s="660"/>
      <c r="J136" s="660"/>
    </row>
    <row r="137" spans="2:14" ht="15.75" customHeight="1" x14ac:dyDescent="0.25">
      <c r="B137" s="655" t="str">
        <f>+'ACTA 2'!B26</f>
        <v>Concreto simple f`c=2500 PSI para atraques</v>
      </c>
      <c r="C137" s="655"/>
      <c r="D137" s="655"/>
      <c r="E137" s="655"/>
      <c r="F137" s="655"/>
      <c r="G137" s="655" t="str">
        <f>+'ACTA 2'!C26</f>
        <v>M3</v>
      </c>
      <c r="H137" s="655"/>
      <c r="I137" s="655"/>
      <c r="K137" s="286"/>
      <c r="L137" s="286"/>
      <c r="M137" s="286">
        <v>6.1</v>
      </c>
      <c r="N137" s="286"/>
    </row>
    <row r="138" spans="2:14" ht="35.1" customHeight="1" x14ac:dyDescent="0.25">
      <c r="B138" s="289"/>
      <c r="C138" s="290"/>
      <c r="D138" s="290"/>
      <c r="E138" s="290"/>
      <c r="F138" s="291"/>
      <c r="G138" s="290"/>
      <c r="H138" s="290"/>
      <c r="I138" s="292"/>
      <c r="J138" s="289"/>
      <c r="K138" s="286"/>
      <c r="L138" s="286"/>
      <c r="M138" s="286"/>
      <c r="N138" s="286"/>
    </row>
    <row r="139" spans="2:14" x14ac:dyDescent="0.25">
      <c r="B139" s="656"/>
      <c r="C139" s="656"/>
      <c r="D139" s="294"/>
      <c r="E139" s="294"/>
      <c r="F139" s="295"/>
      <c r="G139" s="294"/>
      <c r="I139" s="402"/>
      <c r="J139" s="403"/>
    </row>
    <row r="140" spans="2:14" x14ac:dyDescent="0.25">
      <c r="B140" s="301"/>
      <c r="C140" s="404" t="s">
        <v>809</v>
      </c>
      <c r="D140" s="405" t="s">
        <v>810</v>
      </c>
      <c r="E140" s="404" t="s">
        <v>811</v>
      </c>
      <c r="F140" s="406" t="s">
        <v>812</v>
      </c>
      <c r="G140" s="404" t="s">
        <v>813</v>
      </c>
      <c r="H140" s="404" t="s">
        <v>693</v>
      </c>
      <c r="I140" s="657" t="s">
        <v>814</v>
      </c>
      <c r="J140" s="657"/>
    </row>
    <row r="141" spans="2:14" x14ac:dyDescent="0.25">
      <c r="B141" s="400"/>
      <c r="C141" s="407"/>
      <c r="D141" s="407"/>
      <c r="E141" s="407"/>
      <c r="F141" s="408"/>
      <c r="G141" s="294"/>
      <c r="H141" s="407"/>
      <c r="I141" s="658"/>
      <c r="J141" s="658"/>
    </row>
    <row r="142" spans="2:14" x14ac:dyDescent="0.25">
      <c r="B142" s="400" t="s">
        <v>830</v>
      </c>
      <c r="C142" s="407">
        <v>1.2</v>
      </c>
      <c r="D142" s="407">
        <v>1.4</v>
      </c>
      <c r="E142" s="407">
        <v>1.2103174603174605</v>
      </c>
      <c r="F142" s="408"/>
      <c r="G142" s="407">
        <v>3</v>
      </c>
      <c r="H142" s="407">
        <f>+G142*E142*D142*C142</f>
        <v>6.1000000000000005</v>
      </c>
      <c r="I142" s="658"/>
      <c r="J142" s="658"/>
    </row>
    <row r="143" spans="2:14" ht="9.9499999999999993" customHeight="1" x14ac:dyDescent="0.25">
      <c r="B143" s="400"/>
      <c r="C143" s="407"/>
      <c r="D143" s="407"/>
      <c r="E143" s="407"/>
      <c r="F143" s="408"/>
      <c r="G143" s="407"/>
      <c r="H143" s="407"/>
      <c r="I143" s="658"/>
      <c r="J143" s="658"/>
    </row>
    <row r="144" spans="2:14" ht="9.9499999999999993" customHeight="1" x14ac:dyDescent="0.25">
      <c r="B144" s="400"/>
      <c r="C144" s="407"/>
      <c r="D144" s="412"/>
      <c r="E144" s="407"/>
      <c r="F144" s="408"/>
      <c r="G144" s="407"/>
      <c r="H144" s="407"/>
      <c r="I144" s="401"/>
      <c r="J144" s="401"/>
    </row>
    <row r="145" spans="2:14" ht="38.25" customHeight="1" x14ac:dyDescent="0.25">
      <c r="B145" s="300"/>
      <c r="C145" s="294"/>
      <c r="D145" s="294"/>
      <c r="E145" s="294"/>
      <c r="F145" s="295"/>
      <c r="G145" s="294" t="s">
        <v>693</v>
      </c>
      <c r="H145" s="407">
        <f>SUM(H141:H144)</f>
        <v>6.1000000000000005</v>
      </c>
      <c r="I145" s="654"/>
      <c r="J145" s="654"/>
    </row>
    <row r="146" spans="2:14" ht="20.25" customHeight="1" x14ac:dyDescent="0.25">
      <c r="B146" s="300"/>
      <c r="C146" s="294"/>
      <c r="D146" s="294"/>
      <c r="E146" s="294"/>
      <c r="F146" s="295"/>
      <c r="G146" s="294"/>
      <c r="H146" s="294"/>
      <c r="I146" s="301"/>
      <c r="J146" s="289"/>
    </row>
    <row r="147" spans="2:14" ht="20.25" customHeight="1" x14ac:dyDescent="0.25">
      <c r="F147" s="284"/>
    </row>
    <row r="148" spans="2:14" ht="15.75" hidden="1" customHeight="1" thickBot="1" x14ac:dyDescent="0.3">
      <c r="B148" s="659" t="s">
        <v>805</v>
      </c>
      <c r="C148" s="659"/>
      <c r="D148" s="659"/>
      <c r="E148" s="659"/>
      <c r="F148" s="659"/>
      <c r="G148" s="660"/>
      <c r="H148" s="660"/>
      <c r="I148" s="660"/>
      <c r="J148" s="660"/>
    </row>
    <row r="149" spans="2:14" ht="20.25" hidden="1" customHeight="1" x14ac:dyDescent="0.25">
      <c r="F149" s="284"/>
    </row>
    <row r="150" spans="2:14" ht="20.25" hidden="1" customHeight="1" x14ac:dyDescent="0.25">
      <c r="B150" s="661" t="s">
        <v>806</v>
      </c>
      <c r="C150" s="662" t="s">
        <v>816</v>
      </c>
      <c r="D150" s="662"/>
      <c r="E150" s="662"/>
      <c r="F150" s="662"/>
      <c r="G150" s="662"/>
      <c r="H150" s="662"/>
      <c r="I150" s="662"/>
      <c r="J150" s="662"/>
    </row>
    <row r="151" spans="2:14" hidden="1" x14ac:dyDescent="0.25">
      <c r="B151" s="661"/>
      <c r="C151" s="662"/>
      <c r="D151" s="662"/>
      <c r="E151" s="662"/>
      <c r="F151" s="662"/>
      <c r="G151" s="662"/>
      <c r="H151" s="662"/>
      <c r="I151" s="662"/>
      <c r="J151" s="662"/>
    </row>
    <row r="152" spans="2:14" ht="18" hidden="1" x14ac:dyDescent="0.25">
      <c r="C152" s="413" t="s">
        <v>807</v>
      </c>
      <c r="D152" s="663" t="s">
        <v>819</v>
      </c>
      <c r="E152" s="664"/>
      <c r="F152" s="287" t="s">
        <v>817</v>
      </c>
      <c r="G152" s="663" t="s">
        <v>852</v>
      </c>
      <c r="H152" s="664"/>
      <c r="I152" s="663" t="s">
        <v>820</v>
      </c>
      <c r="J152" s="664"/>
    </row>
    <row r="153" spans="2:14" ht="56.25" hidden="1" customHeight="1" thickBot="1" x14ac:dyDescent="0.3">
      <c r="F153" s="284"/>
    </row>
    <row r="154" spans="2:14" hidden="1" x14ac:dyDescent="0.25">
      <c r="B154" s="666" t="s">
        <v>808</v>
      </c>
      <c r="C154" s="666"/>
      <c r="D154" s="666"/>
      <c r="E154" s="666"/>
      <c r="F154" s="284"/>
      <c r="G154" s="666" t="s">
        <v>52</v>
      </c>
      <c r="H154" s="666"/>
      <c r="I154" s="666"/>
    </row>
    <row r="155" spans="2:14" ht="15.75" hidden="1" customHeight="1" thickBot="1" x14ac:dyDescent="0.3">
      <c r="B155" s="655" t="str">
        <f>+'ACTA 2'!B29</f>
        <v>Suministro e instalación de válvula  D=4" en HD JH</v>
      </c>
      <c r="C155" s="655"/>
      <c r="D155" s="655"/>
      <c r="E155" s="655"/>
      <c r="F155" s="655"/>
      <c r="G155" s="655" t="str">
        <f>+'ACTA 2'!C29</f>
        <v>UND</v>
      </c>
      <c r="H155" s="655"/>
      <c r="I155" s="655"/>
      <c r="K155" s="286"/>
      <c r="L155" s="286"/>
      <c r="M155" s="286"/>
      <c r="N155" s="286"/>
    </row>
    <row r="156" spans="2:14" ht="35.1" hidden="1" customHeight="1" x14ac:dyDescent="0.25">
      <c r="B156" s="289"/>
      <c r="C156" s="290"/>
      <c r="D156" s="290"/>
      <c r="E156" s="290"/>
      <c r="F156" s="291"/>
      <c r="G156" s="290"/>
      <c r="H156" s="290"/>
      <c r="I156" s="292"/>
      <c r="J156" s="289"/>
      <c r="K156" s="286"/>
      <c r="L156" s="286"/>
      <c r="M156" s="286"/>
      <c r="N156" s="286"/>
    </row>
    <row r="157" spans="2:14" hidden="1" x14ac:dyDescent="0.25">
      <c r="B157" s="656"/>
      <c r="C157" s="656"/>
      <c r="D157" s="294"/>
      <c r="E157" s="294"/>
      <c r="F157" s="295"/>
      <c r="G157" s="294"/>
      <c r="I157" s="402"/>
      <c r="J157" s="403"/>
    </row>
    <row r="158" spans="2:14" hidden="1" x14ac:dyDescent="0.25">
      <c r="B158" s="301"/>
      <c r="C158" s="404" t="s">
        <v>809</v>
      </c>
      <c r="D158" s="405" t="s">
        <v>810</v>
      </c>
      <c r="E158" s="404" t="s">
        <v>811</v>
      </c>
      <c r="F158" s="406" t="s">
        <v>812</v>
      </c>
      <c r="G158" s="404" t="s">
        <v>813</v>
      </c>
      <c r="H158" s="404" t="s">
        <v>693</v>
      </c>
      <c r="I158" s="657" t="s">
        <v>814</v>
      </c>
      <c r="J158" s="657"/>
    </row>
    <row r="159" spans="2:14" hidden="1" x14ac:dyDescent="0.25">
      <c r="B159" s="400"/>
      <c r="C159" s="407"/>
      <c r="D159" s="407"/>
      <c r="E159" s="407"/>
      <c r="F159" s="408"/>
      <c r="G159" s="294"/>
      <c r="H159" s="407"/>
      <c r="I159" s="658"/>
      <c r="J159" s="658"/>
    </row>
    <row r="160" spans="2:14" hidden="1" x14ac:dyDescent="0.25">
      <c r="B160" s="411" t="s">
        <v>855</v>
      </c>
      <c r="C160" s="407"/>
      <c r="D160" s="407"/>
      <c r="E160" s="407"/>
      <c r="F160" s="408"/>
      <c r="G160" s="407">
        <v>1</v>
      </c>
      <c r="H160" s="407">
        <f>+G160</f>
        <v>1</v>
      </c>
      <c r="I160" s="658"/>
      <c r="J160" s="658"/>
    </row>
    <row r="161" spans="2:15" hidden="1" x14ac:dyDescent="0.25">
      <c r="B161" s="411" t="s">
        <v>870</v>
      </c>
      <c r="C161" s="407"/>
      <c r="D161" s="407"/>
      <c r="E161" s="407"/>
      <c r="F161" s="408"/>
      <c r="G161" s="407">
        <v>1</v>
      </c>
      <c r="H161" s="407">
        <f t="shared" ref="H161:H162" si="8">+G161</f>
        <v>1</v>
      </c>
      <c r="I161" s="658"/>
      <c r="J161" s="658"/>
      <c r="O161" s="297"/>
    </row>
    <row r="162" spans="2:15" hidden="1" x14ac:dyDescent="0.25">
      <c r="B162" s="411" t="s">
        <v>871</v>
      </c>
      <c r="C162" s="407"/>
      <c r="D162" s="407"/>
      <c r="E162" s="407"/>
      <c r="F162" s="408"/>
      <c r="G162" s="407">
        <v>1</v>
      </c>
      <c r="H162" s="407">
        <f t="shared" si="8"/>
        <v>1</v>
      </c>
      <c r="I162" s="401"/>
      <c r="J162" s="401"/>
      <c r="O162" s="297"/>
    </row>
    <row r="163" spans="2:15" ht="38.25" hidden="1" customHeight="1" thickBot="1" x14ac:dyDescent="0.3">
      <c r="B163" s="300"/>
      <c r="C163" s="294"/>
      <c r="D163" s="294"/>
      <c r="E163" s="294"/>
      <c r="F163" s="295"/>
      <c r="G163" s="294" t="s">
        <v>693</v>
      </c>
      <c r="H163" s="407">
        <f>SUM(H159:H162)</f>
        <v>3</v>
      </c>
      <c r="I163" s="654"/>
      <c r="J163" s="654"/>
      <c r="O163" s="299"/>
    </row>
    <row r="164" spans="2:15" ht="20.25" hidden="1" customHeight="1" thickBot="1" x14ac:dyDescent="0.3">
      <c r="B164" s="300"/>
      <c r="C164" s="294"/>
      <c r="D164" s="294"/>
      <c r="E164" s="294"/>
      <c r="F164" s="295"/>
      <c r="G164" s="294"/>
      <c r="H164" s="294"/>
      <c r="I164" s="301"/>
      <c r="J164" s="289"/>
      <c r="O164" s="297"/>
    </row>
    <row r="165" spans="2:15" ht="20.25" hidden="1" customHeight="1" thickBot="1" x14ac:dyDescent="0.3">
      <c r="B165" s="665"/>
      <c r="C165" s="665"/>
      <c r="D165" s="665"/>
      <c r="E165" s="665"/>
      <c r="F165" s="665"/>
      <c r="G165" s="665"/>
      <c r="H165" s="665"/>
      <c r="I165" s="414"/>
      <c r="J165" s="414"/>
      <c r="O165" s="297"/>
    </row>
    <row r="166" spans="2:15" ht="20.25" hidden="1" customHeight="1" thickBot="1" x14ac:dyDescent="0.3">
      <c r="B166" s="415" t="s">
        <v>815</v>
      </c>
      <c r="C166" s="416">
        <f>+H163</f>
        <v>3</v>
      </c>
      <c r="D166" s="416"/>
      <c r="E166" s="416"/>
      <c r="F166" s="416"/>
      <c r="G166" s="416"/>
      <c r="H166" s="416"/>
      <c r="I166" s="301"/>
      <c r="O166" s="296"/>
    </row>
    <row r="167" spans="2:15" ht="20.25" hidden="1" customHeight="1" x14ac:dyDescent="0.25">
      <c r="B167" s="300"/>
      <c r="C167" s="294"/>
      <c r="D167" s="294"/>
      <c r="E167" s="294"/>
      <c r="F167" s="295"/>
      <c r="G167" s="294"/>
      <c r="H167" s="294"/>
      <c r="I167" s="301"/>
      <c r="O167" s="296"/>
    </row>
    <row r="168" spans="2:15" ht="20.25" hidden="1" customHeight="1" thickBot="1" x14ac:dyDescent="0.3">
      <c r="B168" s="305"/>
      <c r="C168" s="305"/>
      <c r="D168" s="305"/>
      <c r="E168" s="305"/>
      <c r="F168" s="305"/>
      <c r="G168" s="305"/>
      <c r="H168" s="306"/>
      <c r="I168" s="301"/>
      <c r="O168" s="296"/>
    </row>
    <row r="169" spans="2:15" ht="20.25" hidden="1" customHeight="1" x14ac:dyDescent="0.25">
      <c r="F169" s="284"/>
      <c r="O169" s="296"/>
    </row>
    <row r="170" spans="2:15" ht="20.25" hidden="1" customHeight="1" thickBot="1" x14ac:dyDescent="0.3">
      <c r="F170" s="284"/>
      <c r="O170" s="296"/>
    </row>
    <row r="171" spans="2:15" ht="15.75" hidden="1" customHeight="1" thickBot="1" x14ac:dyDescent="0.3">
      <c r="B171" s="659" t="s">
        <v>805</v>
      </c>
      <c r="C171" s="659"/>
      <c r="D171" s="659"/>
      <c r="E171" s="659"/>
      <c r="F171" s="659"/>
      <c r="G171" s="660"/>
      <c r="H171" s="660"/>
      <c r="I171" s="660"/>
      <c r="J171" s="660"/>
      <c r="O171" s="296"/>
    </row>
    <row r="172" spans="2:15" ht="20.25" hidden="1" customHeight="1" x14ac:dyDescent="0.25">
      <c r="F172" s="284"/>
      <c r="O172" s="296"/>
    </row>
    <row r="173" spans="2:15" ht="20.25" hidden="1" customHeight="1" x14ac:dyDescent="0.25">
      <c r="B173" s="661" t="s">
        <v>806</v>
      </c>
      <c r="C173" s="662" t="s">
        <v>816</v>
      </c>
      <c r="D173" s="662"/>
      <c r="E173" s="662"/>
      <c r="F173" s="662"/>
      <c r="G173" s="662"/>
      <c r="H173" s="662"/>
      <c r="I173" s="662"/>
      <c r="J173" s="662"/>
      <c r="O173" s="296"/>
    </row>
    <row r="174" spans="2:15" hidden="1" x14ac:dyDescent="0.25">
      <c r="B174" s="661"/>
      <c r="C174" s="662"/>
      <c r="D174" s="662"/>
      <c r="E174" s="662"/>
      <c r="F174" s="662"/>
      <c r="G174" s="662"/>
      <c r="H174" s="662"/>
      <c r="I174" s="662"/>
      <c r="J174" s="662"/>
      <c r="O174" s="296"/>
    </row>
    <row r="175" spans="2:15" ht="18" hidden="1" x14ac:dyDescent="0.25">
      <c r="C175" s="413" t="s">
        <v>807</v>
      </c>
      <c r="D175" s="663" t="s">
        <v>819</v>
      </c>
      <c r="E175" s="664"/>
      <c r="F175" s="287" t="s">
        <v>817</v>
      </c>
      <c r="G175" s="663" t="s">
        <v>852</v>
      </c>
      <c r="H175" s="664"/>
      <c r="I175" s="663" t="s">
        <v>820</v>
      </c>
      <c r="J175" s="664"/>
    </row>
    <row r="176" spans="2:15" ht="56.25" hidden="1" customHeight="1" thickBot="1" x14ac:dyDescent="0.3">
      <c r="F176" s="284"/>
      <c r="O176" s="297"/>
    </row>
    <row r="177" spans="2:15" hidden="1" x14ac:dyDescent="0.25">
      <c r="B177" s="666" t="s">
        <v>808</v>
      </c>
      <c r="C177" s="666"/>
      <c r="D177" s="666"/>
      <c r="E177" s="666"/>
      <c r="F177" s="284"/>
      <c r="G177" s="666" t="s">
        <v>52</v>
      </c>
      <c r="H177" s="666"/>
      <c r="I177" s="666"/>
      <c r="O177" s="297"/>
    </row>
    <row r="178" spans="2:15" ht="15.75" hidden="1" customHeight="1" thickBot="1" x14ac:dyDescent="0.3">
      <c r="B178" s="655" t="str">
        <f>+'ACTA 2'!B30</f>
        <v>Suministro e instalación de válvula  D=2" en HD JH</v>
      </c>
      <c r="C178" s="655"/>
      <c r="D178" s="655"/>
      <c r="E178" s="655"/>
      <c r="F178" s="655"/>
      <c r="G178" s="655" t="str">
        <f>+'ACTA 2'!C30</f>
        <v>UND</v>
      </c>
      <c r="H178" s="655"/>
      <c r="I178" s="655"/>
      <c r="K178" s="286"/>
      <c r="L178" s="286"/>
      <c r="M178" s="286"/>
      <c r="N178" s="286"/>
      <c r="O178" s="299"/>
    </row>
    <row r="179" spans="2:15" ht="35.1" hidden="1" customHeight="1" x14ac:dyDescent="0.25">
      <c r="B179" s="289"/>
      <c r="C179" s="290"/>
      <c r="D179" s="290"/>
      <c r="E179" s="290"/>
      <c r="F179" s="291"/>
      <c r="G179" s="290"/>
      <c r="H179" s="290"/>
      <c r="I179" s="292"/>
      <c r="J179" s="289"/>
      <c r="K179" s="286"/>
      <c r="L179" s="286"/>
      <c r="M179" s="286"/>
      <c r="N179" s="286"/>
      <c r="O179" s="299"/>
    </row>
    <row r="180" spans="2:15" hidden="1" x14ac:dyDescent="0.25">
      <c r="B180" s="656"/>
      <c r="C180" s="656"/>
      <c r="D180" s="294"/>
      <c r="E180" s="294"/>
      <c r="F180" s="295"/>
      <c r="G180" s="294"/>
      <c r="I180" s="402"/>
      <c r="J180" s="403"/>
      <c r="O180" s="297"/>
    </row>
    <row r="181" spans="2:15" hidden="1" x14ac:dyDescent="0.25">
      <c r="B181" s="301"/>
      <c r="C181" s="404" t="s">
        <v>809</v>
      </c>
      <c r="D181" s="405" t="s">
        <v>810</v>
      </c>
      <c r="E181" s="404" t="s">
        <v>811</v>
      </c>
      <c r="F181" s="406" t="s">
        <v>812</v>
      </c>
      <c r="G181" s="404" t="s">
        <v>813</v>
      </c>
      <c r="H181" s="404" t="s">
        <v>693</v>
      </c>
      <c r="I181" s="657" t="s">
        <v>814</v>
      </c>
      <c r="J181" s="657"/>
      <c r="O181" s="297"/>
    </row>
    <row r="182" spans="2:15" hidden="1" x14ac:dyDescent="0.25">
      <c r="B182" s="400"/>
      <c r="C182" s="407"/>
      <c r="D182" s="407"/>
      <c r="E182" s="407"/>
      <c r="F182" s="408"/>
      <c r="G182" s="294"/>
      <c r="H182" s="407"/>
      <c r="I182" s="658"/>
      <c r="J182" s="658"/>
      <c r="O182" s="297"/>
    </row>
    <row r="183" spans="2:15" ht="15" hidden="1" customHeight="1" x14ac:dyDescent="0.25">
      <c r="B183" s="400" t="s">
        <v>853</v>
      </c>
      <c r="C183" s="407"/>
      <c r="D183" s="407"/>
      <c r="E183" s="407"/>
      <c r="F183" s="408"/>
      <c r="G183" s="407">
        <v>1</v>
      </c>
      <c r="H183" s="407">
        <f>+G183</f>
        <v>1</v>
      </c>
      <c r="I183" s="658"/>
      <c r="J183" s="658"/>
      <c r="O183" s="299"/>
    </row>
    <row r="184" spans="2:15" ht="11.25" hidden="1" customHeight="1" thickBot="1" x14ac:dyDescent="0.3">
      <c r="B184" s="400"/>
      <c r="C184" s="407"/>
      <c r="D184" s="407"/>
      <c r="E184" s="407"/>
      <c r="F184" s="408"/>
      <c r="G184" s="407"/>
      <c r="H184" s="407"/>
      <c r="I184" s="401"/>
      <c r="J184" s="401"/>
      <c r="O184" s="297"/>
    </row>
    <row r="185" spans="2:15" ht="38.25" hidden="1" customHeight="1" thickBot="1" x14ac:dyDescent="0.3">
      <c r="B185" s="300"/>
      <c r="C185" s="294"/>
      <c r="D185" s="294"/>
      <c r="E185" s="294"/>
      <c r="F185" s="295"/>
      <c r="G185" s="294" t="s">
        <v>693</v>
      </c>
      <c r="H185" s="407">
        <f>SUM(H182:H184)</f>
        <v>1</v>
      </c>
      <c r="I185" s="654"/>
      <c r="J185" s="654"/>
      <c r="O185" s="297"/>
    </row>
    <row r="186" spans="2:15" ht="20.25" hidden="1" customHeight="1" thickBot="1" x14ac:dyDescent="0.3">
      <c r="B186" s="300"/>
      <c r="C186" s="294"/>
      <c r="D186" s="294"/>
      <c r="E186" s="294"/>
      <c r="F186" s="295"/>
      <c r="G186" s="294"/>
      <c r="H186" s="294"/>
      <c r="I186" s="301"/>
      <c r="J186" s="289"/>
    </row>
    <row r="187" spans="2:15" ht="20.25" hidden="1" customHeight="1" thickBot="1" x14ac:dyDescent="0.3">
      <c r="B187" s="665"/>
      <c r="C187" s="665"/>
      <c r="D187" s="665"/>
      <c r="E187" s="665"/>
      <c r="F187" s="665"/>
      <c r="G187" s="665"/>
      <c r="H187" s="665"/>
      <c r="I187" s="414"/>
      <c r="J187" s="414"/>
    </row>
    <row r="188" spans="2:15" ht="20.25" hidden="1" customHeight="1" thickBot="1" x14ac:dyDescent="0.3">
      <c r="B188" s="415" t="s">
        <v>815</v>
      </c>
      <c r="C188" s="416">
        <f>+H185</f>
        <v>1</v>
      </c>
      <c r="D188" s="416"/>
      <c r="E188" s="416"/>
      <c r="F188" s="416"/>
      <c r="G188" s="416"/>
      <c r="H188" s="416"/>
      <c r="I188" s="301"/>
    </row>
    <row r="189" spans="2:15" ht="20.25" hidden="1" customHeight="1" x14ac:dyDescent="0.25">
      <c r="B189" s="300"/>
      <c r="C189" s="294"/>
      <c r="D189" s="294"/>
      <c r="E189" s="294"/>
      <c r="F189" s="295"/>
      <c r="G189" s="294"/>
      <c r="H189" s="294"/>
      <c r="I189" s="301"/>
    </row>
    <row r="190" spans="2:15" ht="20.25" hidden="1" customHeight="1" thickBot="1" x14ac:dyDescent="0.3">
      <c r="B190" s="305"/>
      <c r="C190" s="305"/>
      <c r="D190" s="305"/>
      <c r="E190" s="305"/>
      <c r="F190" s="305"/>
      <c r="G190" s="305"/>
      <c r="H190" s="306"/>
      <c r="I190" s="301"/>
    </row>
    <row r="191" spans="2:15" ht="20.25" hidden="1" customHeight="1" x14ac:dyDescent="0.25">
      <c r="F191" s="284"/>
    </row>
    <row r="192" spans="2:15" ht="20.25" hidden="1" customHeight="1" thickBot="1" x14ac:dyDescent="0.3">
      <c r="F192" s="284"/>
    </row>
    <row r="193" spans="2:14" ht="15.75" hidden="1" customHeight="1" thickBot="1" x14ac:dyDescent="0.3">
      <c r="B193" s="659" t="s">
        <v>805</v>
      </c>
      <c r="C193" s="659"/>
      <c r="D193" s="659"/>
      <c r="E193" s="659"/>
      <c r="F193" s="659"/>
      <c r="G193" s="660"/>
      <c r="H193" s="660"/>
      <c r="I193" s="660"/>
      <c r="J193" s="660"/>
    </row>
    <row r="194" spans="2:14" ht="20.25" hidden="1" customHeight="1" x14ac:dyDescent="0.25">
      <c r="F194" s="284"/>
    </row>
    <row r="195" spans="2:14" ht="20.25" hidden="1" customHeight="1" x14ac:dyDescent="0.25">
      <c r="B195" s="661" t="s">
        <v>806</v>
      </c>
      <c r="C195" s="662" t="s">
        <v>816</v>
      </c>
      <c r="D195" s="662"/>
      <c r="E195" s="662"/>
      <c r="F195" s="662"/>
      <c r="G195" s="662"/>
      <c r="H195" s="662"/>
      <c r="I195" s="662"/>
      <c r="J195" s="662"/>
    </row>
    <row r="196" spans="2:14" hidden="1" x14ac:dyDescent="0.25">
      <c r="B196" s="661"/>
      <c r="C196" s="662"/>
      <c r="D196" s="662"/>
      <c r="E196" s="662"/>
      <c r="F196" s="662"/>
      <c r="G196" s="662"/>
      <c r="H196" s="662"/>
      <c r="I196" s="662"/>
      <c r="J196" s="662"/>
    </row>
    <row r="197" spans="2:14" ht="18" hidden="1" x14ac:dyDescent="0.25">
      <c r="C197" s="413" t="s">
        <v>807</v>
      </c>
      <c r="D197" s="663" t="s">
        <v>819</v>
      </c>
      <c r="E197" s="664"/>
      <c r="F197" s="287" t="s">
        <v>817</v>
      </c>
      <c r="G197" s="663" t="s">
        <v>852</v>
      </c>
      <c r="H197" s="664"/>
      <c r="I197" s="663" t="s">
        <v>820</v>
      </c>
      <c r="J197" s="664"/>
    </row>
    <row r="198" spans="2:14" ht="56.25" hidden="1" customHeight="1" thickBot="1" x14ac:dyDescent="0.3">
      <c r="F198" s="284"/>
    </row>
    <row r="199" spans="2:14" hidden="1" x14ac:dyDescent="0.25">
      <c r="B199" s="666" t="s">
        <v>808</v>
      </c>
      <c r="C199" s="666"/>
      <c r="D199" s="666"/>
      <c r="E199" s="666"/>
      <c r="F199" s="284"/>
      <c r="G199" s="666" t="s">
        <v>52</v>
      </c>
      <c r="H199" s="666"/>
      <c r="I199" s="666"/>
    </row>
    <row r="200" spans="2:14" ht="15.75" hidden="1" customHeight="1" thickBot="1" x14ac:dyDescent="0.3">
      <c r="B200" s="655" t="str">
        <f>+'ACTA 2'!B31</f>
        <v>Suministro e instalación de válvula  D=3" en HD JH</v>
      </c>
      <c r="C200" s="655"/>
      <c r="D200" s="655"/>
      <c r="E200" s="655"/>
      <c r="F200" s="655"/>
      <c r="G200" s="655" t="str">
        <f>+'ACTA 2'!C31</f>
        <v>UND</v>
      </c>
      <c r="H200" s="655"/>
      <c r="I200" s="655"/>
      <c r="K200" s="286"/>
      <c r="L200" s="286"/>
      <c r="M200" s="286"/>
      <c r="N200" s="286"/>
    </row>
    <row r="201" spans="2:14" ht="35.1" hidden="1" customHeight="1" x14ac:dyDescent="0.25">
      <c r="B201" s="289"/>
      <c r="C201" s="290"/>
      <c r="D201" s="290"/>
      <c r="E201" s="290"/>
      <c r="F201" s="291"/>
      <c r="G201" s="290"/>
      <c r="H201" s="290"/>
      <c r="I201" s="292"/>
      <c r="J201" s="289"/>
      <c r="K201" s="286"/>
      <c r="L201" s="286"/>
      <c r="M201" s="286"/>
      <c r="N201" s="286"/>
    </row>
    <row r="202" spans="2:14" hidden="1" x14ac:dyDescent="0.25">
      <c r="B202" s="656"/>
      <c r="C202" s="656"/>
      <c r="D202" s="294"/>
      <c r="E202" s="294"/>
      <c r="F202" s="295"/>
      <c r="G202" s="294"/>
      <c r="I202" s="402"/>
      <c r="J202" s="403"/>
    </row>
    <row r="203" spans="2:14" hidden="1" x14ac:dyDescent="0.25">
      <c r="B203" s="301"/>
      <c r="C203" s="404" t="s">
        <v>809</v>
      </c>
      <c r="D203" s="405" t="s">
        <v>810</v>
      </c>
      <c r="E203" s="404" t="s">
        <v>811</v>
      </c>
      <c r="F203" s="406" t="s">
        <v>812</v>
      </c>
      <c r="G203" s="404" t="s">
        <v>813</v>
      </c>
      <c r="H203" s="404" t="s">
        <v>693</v>
      </c>
      <c r="I203" s="657" t="s">
        <v>814</v>
      </c>
      <c r="J203" s="657"/>
    </row>
    <row r="204" spans="2:14" hidden="1" x14ac:dyDescent="0.25">
      <c r="B204" s="400"/>
      <c r="C204" s="407"/>
      <c r="D204" s="407"/>
      <c r="E204" s="407"/>
      <c r="F204" s="408"/>
      <c r="G204" s="294"/>
      <c r="H204" s="407"/>
      <c r="I204" s="658"/>
      <c r="J204" s="658"/>
    </row>
    <row r="205" spans="2:14" hidden="1" x14ac:dyDescent="0.25">
      <c r="B205" s="400" t="s">
        <v>822</v>
      </c>
      <c r="C205" s="407"/>
      <c r="D205" s="407"/>
      <c r="E205" s="407"/>
      <c r="F205" s="408"/>
      <c r="G205" s="407">
        <v>1</v>
      </c>
      <c r="H205" s="407">
        <f>+G205</f>
        <v>1</v>
      </c>
      <c r="I205" s="658"/>
      <c r="J205" s="658"/>
    </row>
    <row r="206" spans="2:14" hidden="1" x14ac:dyDescent="0.25">
      <c r="B206" s="400" t="s">
        <v>854</v>
      </c>
      <c r="C206" s="407"/>
      <c r="D206" s="407"/>
      <c r="E206" s="407"/>
      <c r="F206" s="408"/>
      <c r="G206" s="407">
        <v>1</v>
      </c>
      <c r="H206" s="407">
        <f t="shared" ref="H206" si="9">+G206</f>
        <v>1</v>
      </c>
      <c r="I206" s="658"/>
      <c r="J206" s="658"/>
    </row>
    <row r="207" spans="2:14" ht="20.25" hidden="1" customHeight="1" thickBot="1" x14ac:dyDescent="0.3">
      <c r="B207" s="300"/>
      <c r="C207" s="294"/>
      <c r="D207" s="294"/>
      <c r="E207" s="294"/>
      <c r="F207" s="295"/>
      <c r="G207" s="294" t="s">
        <v>693</v>
      </c>
      <c r="H207" s="407">
        <f>SUM(H204:H206)</f>
        <v>2</v>
      </c>
      <c r="I207" s="654"/>
      <c r="J207" s="654"/>
    </row>
    <row r="208" spans="2:14" ht="20.25" hidden="1" customHeight="1" thickBot="1" x14ac:dyDescent="0.3">
      <c r="B208" s="300"/>
      <c r="C208" s="294"/>
      <c r="D208" s="294"/>
      <c r="E208" s="294"/>
      <c r="F208" s="295"/>
      <c r="G208" s="294"/>
      <c r="H208" s="294"/>
      <c r="I208" s="301"/>
      <c r="J208" s="289"/>
    </row>
    <row r="209" spans="2:14" ht="20.25" hidden="1" customHeight="1" thickBot="1" x14ac:dyDescent="0.3">
      <c r="B209" s="665"/>
      <c r="C209" s="665"/>
      <c r="D209" s="665"/>
      <c r="E209" s="665"/>
      <c r="F209" s="665"/>
      <c r="G209" s="665"/>
      <c r="H209" s="665"/>
      <c r="I209" s="414"/>
      <c r="J209" s="414"/>
    </row>
    <row r="210" spans="2:14" ht="20.25" hidden="1" customHeight="1" thickBot="1" x14ac:dyDescent="0.3">
      <c r="B210" s="415" t="s">
        <v>815</v>
      </c>
      <c r="C210" s="416">
        <f>+H207</f>
        <v>2</v>
      </c>
      <c r="D210" s="416"/>
      <c r="E210" s="416"/>
      <c r="F210" s="416"/>
      <c r="G210" s="416"/>
      <c r="H210" s="416"/>
      <c r="I210" s="301"/>
    </row>
    <row r="211" spans="2:14" ht="20.25" hidden="1" customHeight="1" x14ac:dyDescent="0.25">
      <c r="B211" s="300"/>
      <c r="C211" s="294"/>
      <c r="D211" s="294"/>
      <c r="E211" s="294"/>
      <c r="F211" s="295"/>
      <c r="G211" s="294"/>
      <c r="H211" s="294"/>
      <c r="I211" s="301"/>
    </row>
    <row r="212" spans="2:14" ht="20.25" hidden="1" customHeight="1" thickBot="1" x14ac:dyDescent="0.3">
      <c r="B212" s="305"/>
      <c r="C212" s="305"/>
      <c r="D212" s="305"/>
      <c r="E212" s="305"/>
      <c r="F212" s="305"/>
      <c r="G212" s="305"/>
      <c r="H212" s="306"/>
      <c r="I212" s="301"/>
    </row>
    <row r="213" spans="2:14" ht="20.25" hidden="1" customHeight="1" x14ac:dyDescent="0.25">
      <c r="F213" s="284"/>
    </row>
    <row r="214" spans="2:14" ht="20.25" customHeight="1" x14ac:dyDescent="0.25">
      <c r="F214" s="284"/>
    </row>
    <row r="215" spans="2:14" ht="43.5" customHeight="1" x14ac:dyDescent="0.25">
      <c r="B215" s="659" t="s">
        <v>805</v>
      </c>
      <c r="C215" s="659"/>
      <c r="D215" s="659"/>
      <c r="E215" s="659"/>
      <c r="F215" s="659"/>
      <c r="G215" s="660"/>
      <c r="H215" s="660"/>
      <c r="I215" s="660"/>
      <c r="J215" s="660"/>
    </row>
    <row r="216" spans="2:14" ht="15.75" customHeight="1" x14ac:dyDescent="0.25">
      <c r="B216" s="655" t="str">
        <f>+'ACTA 2'!B32</f>
        <v>Suministro e instalación de válvula  D=6" en HD JH</v>
      </c>
      <c r="C216" s="655"/>
      <c r="D216" s="655"/>
      <c r="E216" s="655"/>
      <c r="F216" s="655"/>
      <c r="G216" s="655" t="str">
        <f>+'ACTA 2'!C32</f>
        <v>UND</v>
      </c>
      <c r="H216" s="655"/>
      <c r="I216" s="655"/>
      <c r="K216" s="286"/>
      <c r="L216" s="286"/>
      <c r="M216" s="286"/>
      <c r="N216" s="286"/>
    </row>
    <row r="217" spans="2:14" ht="35.1" customHeight="1" x14ac:dyDescent="0.25">
      <c r="B217" s="289"/>
      <c r="C217" s="290"/>
      <c r="D217" s="290"/>
      <c r="E217" s="290"/>
      <c r="F217" s="291"/>
      <c r="G217" s="290"/>
      <c r="H217" s="290"/>
      <c r="I217" s="292"/>
      <c r="J217" s="289"/>
      <c r="K217" s="286"/>
      <c r="L217" s="286"/>
      <c r="M217" s="286"/>
      <c r="N217" s="286"/>
    </row>
    <row r="218" spans="2:14" x14ac:dyDescent="0.25">
      <c r="B218" s="656"/>
      <c r="C218" s="656"/>
      <c r="D218" s="294"/>
      <c r="E218" s="294"/>
      <c r="F218" s="295"/>
      <c r="G218" s="294"/>
      <c r="I218" s="402"/>
      <c r="J218" s="403"/>
    </row>
    <row r="219" spans="2:14" x14ac:dyDescent="0.25">
      <c r="B219" s="301"/>
      <c r="C219" s="404" t="s">
        <v>809</v>
      </c>
      <c r="D219" s="405" t="s">
        <v>810</v>
      </c>
      <c r="E219" s="404" t="s">
        <v>811</v>
      </c>
      <c r="F219" s="406" t="s">
        <v>812</v>
      </c>
      <c r="G219" s="404" t="s">
        <v>813</v>
      </c>
      <c r="H219" s="404" t="s">
        <v>693</v>
      </c>
      <c r="I219" s="657" t="s">
        <v>814</v>
      </c>
      <c r="J219" s="657"/>
    </row>
    <row r="220" spans="2:14" x14ac:dyDescent="0.25">
      <c r="B220" s="400"/>
      <c r="C220" s="407"/>
      <c r="D220" s="407"/>
      <c r="E220" s="407"/>
      <c r="F220" s="408"/>
      <c r="G220" s="294"/>
      <c r="H220" s="407"/>
      <c r="I220" s="658"/>
      <c r="J220" s="658"/>
    </row>
    <row r="221" spans="2:14" x14ac:dyDescent="0.25">
      <c r="B221" s="400" t="s">
        <v>876</v>
      </c>
      <c r="C221" s="407"/>
      <c r="D221" s="407"/>
      <c r="E221" s="407"/>
      <c r="F221" s="408"/>
      <c r="G221" s="407">
        <v>1</v>
      </c>
      <c r="H221" s="407">
        <f t="shared" ref="H221:H223" si="10">+G221</f>
        <v>1</v>
      </c>
      <c r="I221" s="658"/>
      <c r="J221" s="658"/>
    </row>
    <row r="222" spans="2:14" x14ac:dyDescent="0.25">
      <c r="B222" s="400" t="s">
        <v>877</v>
      </c>
      <c r="C222" s="407"/>
      <c r="D222" s="407"/>
      <c r="E222" s="407"/>
      <c r="F222" s="408"/>
      <c r="G222" s="407">
        <v>1</v>
      </c>
      <c r="H222" s="407">
        <f t="shared" si="10"/>
        <v>1</v>
      </c>
      <c r="I222" s="658"/>
      <c r="J222" s="658"/>
    </row>
    <row r="223" spans="2:14" x14ac:dyDescent="0.25">
      <c r="B223" s="400" t="s">
        <v>878</v>
      </c>
      <c r="C223" s="407"/>
      <c r="D223" s="407"/>
      <c r="E223" s="407"/>
      <c r="F223" s="408"/>
      <c r="G223" s="407">
        <v>1</v>
      </c>
      <c r="H223" s="407">
        <f t="shared" si="10"/>
        <v>1</v>
      </c>
      <c r="I223" s="658"/>
      <c r="J223" s="658"/>
    </row>
    <row r="224" spans="2:14" ht="20.25" customHeight="1" x14ac:dyDescent="0.25">
      <c r="B224" s="300"/>
      <c r="C224" s="294"/>
      <c r="D224" s="294"/>
      <c r="E224" s="294"/>
      <c r="F224" s="295"/>
      <c r="G224" s="294" t="s">
        <v>693</v>
      </c>
      <c r="H224" s="407">
        <f>SUM(H220:H223)</f>
        <v>3</v>
      </c>
      <c r="I224" s="654"/>
      <c r="J224" s="654"/>
    </row>
    <row r="225" spans="2:14" ht="20.25" customHeight="1" x14ac:dyDescent="0.25">
      <c r="B225" s="300"/>
      <c r="C225" s="294"/>
      <c r="D225" s="294"/>
      <c r="E225" s="294"/>
      <c r="F225" s="295"/>
      <c r="G225" s="294"/>
      <c r="H225" s="294"/>
      <c r="I225" s="301"/>
      <c r="J225" s="289"/>
    </row>
    <row r="226" spans="2:14" ht="20.25" customHeight="1" x14ac:dyDescent="0.25">
      <c r="F226" s="284"/>
    </row>
    <row r="227" spans="2:14" ht="20.25" customHeight="1" x14ac:dyDescent="0.25">
      <c r="F227" s="284"/>
    </row>
    <row r="228" spans="2:14" ht="15.75" hidden="1" customHeight="1" thickBot="1" x14ac:dyDescent="0.3">
      <c r="B228" s="659" t="s">
        <v>805</v>
      </c>
      <c r="C228" s="659"/>
      <c r="D228" s="659"/>
      <c r="E228" s="659"/>
      <c r="F228" s="659"/>
      <c r="G228" s="660"/>
      <c r="H228" s="660"/>
      <c r="I228" s="660"/>
      <c r="J228" s="660"/>
    </row>
    <row r="229" spans="2:14" ht="20.25" hidden="1" customHeight="1" x14ac:dyDescent="0.25">
      <c r="F229" s="284"/>
    </row>
    <row r="230" spans="2:14" ht="20.25" hidden="1" customHeight="1" x14ac:dyDescent="0.25">
      <c r="B230" s="661" t="s">
        <v>806</v>
      </c>
      <c r="C230" s="662" t="s">
        <v>816</v>
      </c>
      <c r="D230" s="662"/>
      <c r="E230" s="662"/>
      <c r="F230" s="662"/>
      <c r="G230" s="662"/>
      <c r="H230" s="662"/>
      <c r="I230" s="662"/>
      <c r="J230" s="662"/>
    </row>
    <row r="231" spans="2:14" hidden="1" x14ac:dyDescent="0.25">
      <c r="B231" s="661"/>
      <c r="C231" s="662"/>
      <c r="D231" s="662"/>
      <c r="E231" s="662"/>
      <c r="F231" s="662"/>
      <c r="G231" s="662"/>
      <c r="H231" s="662"/>
      <c r="I231" s="662"/>
      <c r="J231" s="662"/>
    </row>
    <row r="232" spans="2:14" ht="18" hidden="1" x14ac:dyDescent="0.25">
      <c r="C232" s="413" t="s">
        <v>807</v>
      </c>
      <c r="D232" s="663" t="s">
        <v>819</v>
      </c>
      <c r="E232" s="664"/>
      <c r="F232" s="287" t="s">
        <v>817</v>
      </c>
      <c r="G232" s="663" t="s">
        <v>852</v>
      </c>
      <c r="H232" s="664"/>
      <c r="I232" s="663" t="s">
        <v>820</v>
      </c>
      <c r="J232" s="664"/>
    </row>
    <row r="233" spans="2:14" ht="56.25" hidden="1" customHeight="1" thickBot="1" x14ac:dyDescent="0.3">
      <c r="F233" s="284"/>
    </row>
    <row r="234" spans="2:14" hidden="1" x14ac:dyDescent="0.25">
      <c r="B234" s="666" t="s">
        <v>808</v>
      </c>
      <c r="C234" s="666"/>
      <c r="D234" s="666"/>
      <c r="E234" s="666"/>
      <c r="F234" s="284"/>
      <c r="G234" s="666" t="s">
        <v>52</v>
      </c>
      <c r="H234" s="666"/>
      <c r="I234" s="666"/>
    </row>
    <row r="235" spans="2:14" ht="15.75" hidden="1" customHeight="1" thickBot="1" x14ac:dyDescent="0.3">
      <c r="B235" s="655" t="str">
        <f>+'ACTA 2'!B33</f>
        <v>Suministro e instalación de válvula  D=8" en HD JH</v>
      </c>
      <c r="C235" s="655"/>
      <c r="D235" s="655"/>
      <c r="E235" s="655"/>
      <c r="F235" s="655"/>
      <c r="G235" s="655" t="str">
        <f>+'ACTA 2'!C33</f>
        <v>UND</v>
      </c>
      <c r="H235" s="655"/>
      <c r="I235" s="655"/>
      <c r="K235" s="286"/>
      <c r="L235" s="286"/>
      <c r="M235" s="286"/>
      <c r="N235" s="286"/>
    </row>
    <row r="236" spans="2:14" ht="35.1" hidden="1" customHeight="1" x14ac:dyDescent="0.25">
      <c r="B236" s="289"/>
      <c r="C236" s="290"/>
      <c r="D236" s="290"/>
      <c r="E236" s="290"/>
      <c r="F236" s="291"/>
      <c r="G236" s="290"/>
      <c r="H236" s="290"/>
      <c r="I236" s="292"/>
      <c r="J236" s="289"/>
      <c r="K236" s="286"/>
      <c r="L236" s="286"/>
      <c r="M236" s="286"/>
      <c r="N236" s="286"/>
    </row>
    <row r="237" spans="2:14" hidden="1" x14ac:dyDescent="0.25">
      <c r="B237" s="656"/>
      <c r="C237" s="656"/>
      <c r="D237" s="294"/>
      <c r="E237" s="294"/>
      <c r="F237" s="295"/>
      <c r="G237" s="294"/>
      <c r="I237" s="402"/>
      <c r="J237" s="403"/>
    </row>
    <row r="238" spans="2:14" hidden="1" x14ac:dyDescent="0.25">
      <c r="B238" s="301"/>
      <c r="C238" s="404" t="s">
        <v>809</v>
      </c>
      <c r="D238" s="405" t="s">
        <v>810</v>
      </c>
      <c r="E238" s="404" t="s">
        <v>811</v>
      </c>
      <c r="F238" s="406" t="s">
        <v>812</v>
      </c>
      <c r="G238" s="404" t="s">
        <v>813</v>
      </c>
      <c r="H238" s="404" t="s">
        <v>693</v>
      </c>
      <c r="I238" s="657" t="s">
        <v>814</v>
      </c>
      <c r="J238" s="657"/>
    </row>
    <row r="239" spans="2:14" hidden="1" x14ac:dyDescent="0.25">
      <c r="B239" s="400"/>
      <c r="C239" s="407"/>
      <c r="D239" s="407"/>
      <c r="E239" s="407"/>
      <c r="F239" s="408"/>
      <c r="G239" s="294"/>
      <c r="H239" s="407"/>
      <c r="I239" s="658"/>
      <c r="J239" s="658"/>
    </row>
    <row r="240" spans="2:14" ht="15" hidden="1" customHeight="1" x14ac:dyDescent="0.25">
      <c r="B240" s="409" t="s">
        <v>865</v>
      </c>
      <c r="C240" s="407"/>
      <c r="D240" s="407"/>
      <c r="E240" s="407"/>
      <c r="F240" s="408"/>
      <c r="G240" s="407">
        <v>1</v>
      </c>
      <c r="H240" s="407">
        <f>+G240</f>
        <v>1</v>
      </c>
      <c r="I240" s="658"/>
      <c r="J240" s="658"/>
    </row>
    <row r="241" spans="2:10" hidden="1" x14ac:dyDescent="0.25">
      <c r="B241" s="400" t="s">
        <v>865</v>
      </c>
      <c r="C241" s="407"/>
      <c r="D241" s="407"/>
      <c r="E241" s="407"/>
      <c r="F241" s="408"/>
      <c r="G241" s="407">
        <v>1</v>
      </c>
      <c r="H241" s="407">
        <f>+G241</f>
        <v>1</v>
      </c>
      <c r="I241" s="658"/>
      <c r="J241" s="658"/>
    </row>
    <row r="242" spans="2:10" hidden="1" x14ac:dyDescent="0.25">
      <c r="B242" s="400" t="s">
        <v>866</v>
      </c>
      <c r="C242" s="407"/>
      <c r="D242" s="407"/>
      <c r="E242" s="407"/>
      <c r="F242" s="408"/>
      <c r="G242" s="407">
        <v>1</v>
      </c>
      <c r="H242" s="407">
        <f>+G242</f>
        <v>1</v>
      </c>
      <c r="I242" s="401"/>
      <c r="J242" s="401"/>
    </row>
    <row r="243" spans="2:10" ht="38.25" hidden="1" customHeight="1" thickBot="1" x14ac:dyDescent="0.3">
      <c r="B243" s="300"/>
      <c r="C243" s="294"/>
      <c r="D243" s="294"/>
      <c r="E243" s="294"/>
      <c r="F243" s="295"/>
      <c r="G243" s="294" t="s">
        <v>693</v>
      </c>
      <c r="H243" s="407">
        <f>SUM(H239:H242)</f>
        <v>3</v>
      </c>
      <c r="I243" s="654"/>
      <c r="J243" s="654"/>
    </row>
    <row r="244" spans="2:10" ht="20.25" hidden="1" customHeight="1" thickBot="1" x14ac:dyDescent="0.3">
      <c r="B244" s="300"/>
      <c r="C244" s="294"/>
      <c r="D244" s="294"/>
      <c r="E244" s="294"/>
      <c r="F244" s="295"/>
      <c r="G244" s="294"/>
      <c r="H244" s="294"/>
      <c r="I244" s="301"/>
      <c r="J244" s="289"/>
    </row>
    <row r="245" spans="2:10" ht="51" hidden="1" customHeight="1" thickBot="1" x14ac:dyDescent="0.3">
      <c r="B245" s="665"/>
      <c r="C245" s="665"/>
      <c r="D245" s="665"/>
      <c r="E245" s="665"/>
      <c r="F245" s="665"/>
      <c r="G245" s="665"/>
      <c r="H245" s="665"/>
      <c r="I245" s="414"/>
      <c r="J245" s="414"/>
    </row>
    <row r="246" spans="2:10" ht="20.25" hidden="1" customHeight="1" thickBot="1" x14ac:dyDescent="0.3">
      <c r="B246" s="415" t="s">
        <v>815</v>
      </c>
      <c r="C246" s="416">
        <f>+H243</f>
        <v>3</v>
      </c>
      <c r="D246" s="416"/>
      <c r="E246" s="416"/>
      <c r="F246" s="416"/>
      <c r="G246" s="416"/>
      <c r="H246" s="416"/>
      <c r="I246" s="301"/>
    </row>
    <row r="247" spans="2:10" ht="20.25" hidden="1" customHeight="1" x14ac:dyDescent="0.25">
      <c r="B247" s="300"/>
      <c r="C247" s="294"/>
      <c r="D247" s="294"/>
      <c r="E247" s="294"/>
      <c r="F247" s="295"/>
      <c r="G247" s="294"/>
      <c r="H247" s="294"/>
      <c r="I247" s="301"/>
    </row>
    <row r="248" spans="2:10" ht="20.25" hidden="1" customHeight="1" thickBot="1" x14ac:dyDescent="0.3">
      <c r="B248" s="305"/>
      <c r="C248" s="305"/>
      <c r="D248" s="305"/>
      <c r="E248" s="305"/>
      <c r="F248" s="305"/>
      <c r="G248" s="305"/>
      <c r="H248" s="306"/>
      <c r="I248" s="301"/>
    </row>
    <row r="249" spans="2:10" ht="20.25" hidden="1" customHeight="1" x14ac:dyDescent="0.25">
      <c r="F249" s="284"/>
    </row>
    <row r="250" spans="2:10" ht="20.25" hidden="1" customHeight="1" thickBot="1" x14ac:dyDescent="0.3">
      <c r="F250" s="284"/>
    </row>
    <row r="251" spans="2:10" ht="15.75" hidden="1" customHeight="1" thickBot="1" x14ac:dyDescent="0.3">
      <c r="B251" s="659" t="s">
        <v>805</v>
      </c>
      <c r="C251" s="659"/>
      <c r="D251" s="659"/>
      <c r="E251" s="659"/>
      <c r="F251" s="659"/>
      <c r="G251" s="660"/>
      <c r="H251" s="660"/>
      <c r="I251" s="660"/>
      <c r="J251" s="660"/>
    </row>
    <row r="252" spans="2:10" ht="20.25" hidden="1" customHeight="1" x14ac:dyDescent="0.25">
      <c r="F252" s="284"/>
    </row>
    <row r="253" spans="2:10" ht="20.25" hidden="1" customHeight="1" x14ac:dyDescent="0.25">
      <c r="B253" s="661" t="s">
        <v>806</v>
      </c>
      <c r="C253" s="662" t="s">
        <v>816</v>
      </c>
      <c r="D253" s="662"/>
      <c r="E253" s="662"/>
      <c r="F253" s="662"/>
      <c r="G253" s="662"/>
      <c r="H253" s="662"/>
      <c r="I253" s="662"/>
      <c r="J253" s="662"/>
    </row>
    <row r="254" spans="2:10" hidden="1" x14ac:dyDescent="0.25">
      <c r="B254" s="661"/>
      <c r="C254" s="662"/>
      <c r="D254" s="662"/>
      <c r="E254" s="662"/>
      <c r="F254" s="662"/>
      <c r="G254" s="662"/>
      <c r="H254" s="662"/>
      <c r="I254" s="662"/>
      <c r="J254" s="662"/>
    </row>
    <row r="255" spans="2:10" ht="18" hidden="1" x14ac:dyDescent="0.25">
      <c r="C255" s="413" t="s">
        <v>807</v>
      </c>
      <c r="D255" s="663" t="s">
        <v>819</v>
      </c>
      <c r="E255" s="664"/>
      <c r="F255" s="287" t="s">
        <v>817</v>
      </c>
      <c r="G255" s="663" t="s">
        <v>852</v>
      </c>
      <c r="H255" s="664"/>
      <c r="I255" s="663" t="s">
        <v>820</v>
      </c>
      <c r="J255" s="664"/>
    </row>
    <row r="256" spans="2:10" ht="56.25" hidden="1" customHeight="1" thickBot="1" x14ac:dyDescent="0.3">
      <c r="F256" s="284"/>
    </row>
    <row r="257" spans="2:14" hidden="1" x14ac:dyDescent="0.25">
      <c r="B257" s="666" t="s">
        <v>808</v>
      </c>
      <c r="C257" s="666"/>
      <c r="D257" s="666"/>
      <c r="E257" s="666"/>
      <c r="F257" s="284"/>
      <c r="G257" s="666" t="s">
        <v>52</v>
      </c>
      <c r="H257" s="666"/>
      <c r="I257" s="666"/>
    </row>
    <row r="258" spans="2:14" ht="15.75" hidden="1" customHeight="1" x14ac:dyDescent="0.25">
      <c r="B258" s="655" t="str">
        <f>+'ACTA 2'!B34</f>
        <v>Suministro e instalación de válvula  D=10" en HD JH</v>
      </c>
      <c r="C258" s="655"/>
      <c r="D258" s="655"/>
      <c r="E258" s="655"/>
      <c r="F258" s="655"/>
      <c r="G258" s="655" t="str">
        <f>+'ACTA 2'!C34</f>
        <v>UND</v>
      </c>
      <c r="H258" s="655"/>
      <c r="I258" s="655"/>
      <c r="K258" s="286"/>
      <c r="L258" s="286"/>
      <c r="M258" s="286"/>
      <c r="N258" s="286"/>
    </row>
    <row r="259" spans="2:14" ht="35.1" hidden="1" customHeight="1" x14ac:dyDescent="0.25">
      <c r="B259" s="289"/>
      <c r="C259" s="290"/>
      <c r="D259" s="290"/>
      <c r="E259" s="290"/>
      <c r="F259" s="291"/>
      <c r="G259" s="290"/>
      <c r="H259" s="290"/>
      <c r="I259" s="292"/>
      <c r="J259" s="289"/>
      <c r="K259" s="286"/>
      <c r="L259" s="286"/>
      <c r="M259" s="286"/>
      <c r="N259" s="286"/>
    </row>
    <row r="260" spans="2:14" hidden="1" x14ac:dyDescent="0.25">
      <c r="B260" s="656"/>
      <c r="C260" s="656"/>
      <c r="D260" s="294"/>
      <c r="E260" s="294"/>
      <c r="F260" s="295"/>
      <c r="G260" s="294"/>
      <c r="I260" s="402"/>
      <c r="J260" s="403"/>
    </row>
    <row r="261" spans="2:14" hidden="1" x14ac:dyDescent="0.25">
      <c r="B261" s="301"/>
      <c r="C261" s="404" t="s">
        <v>809</v>
      </c>
      <c r="D261" s="405" t="s">
        <v>810</v>
      </c>
      <c r="E261" s="404" t="s">
        <v>811</v>
      </c>
      <c r="F261" s="406" t="s">
        <v>812</v>
      </c>
      <c r="G261" s="404" t="s">
        <v>813</v>
      </c>
      <c r="H261" s="404" t="s">
        <v>693</v>
      </c>
      <c r="I261" s="657" t="s">
        <v>814</v>
      </c>
      <c r="J261" s="657"/>
    </row>
    <row r="262" spans="2:14" hidden="1" x14ac:dyDescent="0.25">
      <c r="B262" s="400"/>
      <c r="C262" s="407"/>
      <c r="D262" s="407"/>
      <c r="E262" s="407"/>
      <c r="F262" s="408"/>
      <c r="G262" s="294"/>
      <c r="H262" s="407"/>
      <c r="I262" s="658"/>
      <c r="J262" s="658"/>
    </row>
    <row r="263" spans="2:14" hidden="1" x14ac:dyDescent="0.25">
      <c r="B263" s="400"/>
      <c r="C263" s="407"/>
      <c r="D263" s="407"/>
      <c r="E263" s="407"/>
      <c r="F263" s="408"/>
      <c r="G263" s="407"/>
      <c r="H263" s="407">
        <f>C263</f>
        <v>0</v>
      </c>
      <c r="I263" s="658"/>
      <c r="J263" s="658"/>
    </row>
    <row r="264" spans="2:14" hidden="1" x14ac:dyDescent="0.25">
      <c r="B264" s="400"/>
      <c r="C264" s="407"/>
      <c r="D264" s="407"/>
      <c r="E264" s="407"/>
      <c r="F264" s="408"/>
      <c r="G264" s="407"/>
      <c r="H264" s="407"/>
      <c r="I264" s="658"/>
      <c r="J264" s="658"/>
    </row>
    <row r="265" spans="2:14" hidden="1" x14ac:dyDescent="0.25">
      <c r="B265" s="400"/>
      <c r="C265" s="407"/>
      <c r="D265" s="407"/>
      <c r="E265" s="407"/>
      <c r="F265" s="408"/>
      <c r="G265" s="407"/>
      <c r="H265" s="407"/>
      <c r="I265" s="401"/>
      <c r="J265" s="401"/>
    </row>
    <row r="266" spans="2:14" ht="38.25" hidden="1" customHeight="1" thickBot="1" x14ac:dyDescent="0.3">
      <c r="B266" s="300"/>
      <c r="C266" s="294"/>
      <c r="D266" s="294"/>
      <c r="E266" s="294"/>
      <c r="F266" s="295"/>
      <c r="G266" s="294" t="s">
        <v>693</v>
      </c>
      <c r="H266" s="407">
        <f>SUM(H262:H265)</f>
        <v>0</v>
      </c>
      <c r="I266" s="654"/>
      <c r="J266" s="654"/>
    </row>
    <row r="267" spans="2:14" ht="20.25" hidden="1" customHeight="1" x14ac:dyDescent="0.25">
      <c r="B267" s="300"/>
      <c r="C267" s="294"/>
      <c r="D267" s="294"/>
      <c r="E267" s="294"/>
      <c r="F267" s="295"/>
      <c r="G267" s="294"/>
      <c r="H267" s="294"/>
      <c r="I267" s="301"/>
      <c r="J267" s="289"/>
    </row>
    <row r="268" spans="2:14" ht="20.25" hidden="1" customHeight="1" x14ac:dyDescent="0.25">
      <c r="B268" s="665"/>
      <c r="C268" s="665"/>
      <c r="D268" s="665"/>
      <c r="E268" s="665"/>
      <c r="F268" s="665"/>
      <c r="G268" s="665"/>
      <c r="H268" s="665"/>
      <c r="I268" s="414"/>
      <c r="J268" s="414"/>
    </row>
    <row r="269" spans="2:14" ht="20.25" hidden="1" customHeight="1" thickBot="1" x14ac:dyDescent="0.3">
      <c r="B269" s="415" t="s">
        <v>815</v>
      </c>
      <c r="C269" s="416">
        <f>+H266</f>
        <v>0</v>
      </c>
      <c r="D269" s="416"/>
      <c r="E269" s="416"/>
      <c r="F269" s="416"/>
      <c r="G269" s="416"/>
      <c r="H269" s="416"/>
      <c r="I269" s="301"/>
    </row>
    <row r="270" spans="2:14" ht="20.25" hidden="1" customHeight="1" thickBot="1" x14ac:dyDescent="0.3">
      <c r="B270" s="300"/>
      <c r="C270" s="294"/>
      <c r="D270" s="294"/>
      <c r="E270" s="294"/>
      <c r="F270" s="295"/>
      <c r="G270" s="294"/>
      <c r="H270" s="294"/>
      <c r="I270" s="301"/>
    </row>
    <row r="271" spans="2:14" ht="20.25" hidden="1" customHeight="1" thickBot="1" x14ac:dyDescent="0.3">
      <c r="B271" s="305"/>
      <c r="C271" s="305"/>
      <c r="D271" s="305"/>
      <c r="E271" s="305"/>
      <c r="F271" s="305"/>
      <c r="G271" s="305"/>
      <c r="H271" s="306"/>
      <c r="I271" s="301"/>
    </row>
    <row r="272" spans="2:14" ht="20.25" hidden="1" customHeight="1" thickBot="1" x14ac:dyDescent="0.3">
      <c r="B272" s="305"/>
      <c r="C272" s="305"/>
      <c r="D272" s="305"/>
      <c r="E272" s="305"/>
      <c r="F272" s="305"/>
      <c r="G272" s="305"/>
      <c r="H272" s="306"/>
      <c r="I272" s="301"/>
    </row>
    <row r="273" spans="2:14" ht="20.25" hidden="1" customHeight="1" thickBot="1" x14ac:dyDescent="0.3">
      <c r="F273" s="284"/>
    </row>
    <row r="274" spans="2:14" ht="15.75" hidden="1" customHeight="1" thickBot="1" x14ac:dyDescent="0.3">
      <c r="B274" s="659" t="s">
        <v>805</v>
      </c>
      <c r="C274" s="659"/>
      <c r="D274" s="659"/>
      <c r="E274" s="659"/>
      <c r="F274" s="659"/>
      <c r="G274" s="660"/>
      <c r="H274" s="660"/>
      <c r="I274" s="660"/>
      <c r="J274" s="660"/>
    </row>
    <row r="275" spans="2:14" ht="20.25" hidden="1" customHeight="1" x14ac:dyDescent="0.25">
      <c r="F275" s="284"/>
    </row>
    <row r="276" spans="2:14" ht="20.25" hidden="1" customHeight="1" thickBot="1" x14ac:dyDescent="0.3">
      <c r="B276" s="661" t="s">
        <v>806</v>
      </c>
      <c r="C276" s="662" t="s">
        <v>816</v>
      </c>
      <c r="D276" s="662"/>
      <c r="E276" s="662"/>
      <c r="F276" s="662"/>
      <c r="G276" s="662"/>
      <c r="H276" s="662"/>
      <c r="I276" s="662"/>
      <c r="J276" s="662"/>
    </row>
    <row r="277" spans="2:14" ht="20.25" hidden="1" customHeight="1" x14ac:dyDescent="0.25">
      <c r="B277" s="661"/>
      <c r="C277" s="662"/>
      <c r="D277" s="662"/>
      <c r="E277" s="662"/>
      <c r="F277" s="662"/>
      <c r="G277" s="662"/>
      <c r="H277" s="662"/>
      <c r="I277" s="662"/>
      <c r="J277" s="662"/>
    </row>
    <row r="278" spans="2:14" ht="18" hidden="1" x14ac:dyDescent="0.25">
      <c r="C278" s="413" t="s">
        <v>807</v>
      </c>
      <c r="D278" s="663" t="s">
        <v>818</v>
      </c>
      <c r="E278" s="664"/>
      <c r="F278" s="287" t="s">
        <v>817</v>
      </c>
      <c r="G278" s="663" t="s">
        <v>819</v>
      </c>
      <c r="H278" s="664"/>
      <c r="I278" s="663" t="s">
        <v>820</v>
      </c>
      <c r="J278" s="664"/>
    </row>
    <row r="279" spans="2:14" ht="56.25" hidden="1" customHeight="1" thickBot="1" x14ac:dyDescent="0.3">
      <c r="F279" s="284"/>
    </row>
    <row r="280" spans="2:14" hidden="1" x14ac:dyDescent="0.25">
      <c r="B280" s="666" t="s">
        <v>808</v>
      </c>
      <c r="C280" s="666"/>
      <c r="D280" s="666"/>
      <c r="E280" s="666"/>
      <c r="F280" s="284"/>
      <c r="G280" s="666" t="s">
        <v>52</v>
      </c>
      <c r="H280" s="666"/>
      <c r="I280" s="666"/>
    </row>
    <row r="281" spans="2:14" ht="15.75" hidden="1" customHeight="1" thickBot="1" x14ac:dyDescent="0.3">
      <c r="B281" s="655" t="str">
        <f>+'ACTA 02'!B34</f>
        <v>Suministro e instalación de válvula  D=10" en HD JH</v>
      </c>
      <c r="C281" s="655"/>
      <c r="D281" s="655"/>
      <c r="E281" s="655"/>
      <c r="F281" s="655"/>
      <c r="G281" s="655" t="str">
        <f>+'ACTA 02'!C34</f>
        <v>UND</v>
      </c>
      <c r="H281" s="655"/>
      <c r="I281" s="655"/>
      <c r="K281" s="286"/>
      <c r="L281" s="286"/>
      <c r="M281" s="286"/>
      <c r="N281" s="286"/>
    </row>
    <row r="282" spans="2:14" ht="35.1" hidden="1" customHeight="1" x14ac:dyDescent="0.25">
      <c r="B282" s="289"/>
      <c r="C282" s="290"/>
      <c r="D282" s="290"/>
      <c r="E282" s="290"/>
      <c r="F282" s="291"/>
      <c r="G282" s="290"/>
      <c r="H282" s="290"/>
      <c r="I282" s="292"/>
      <c r="J282" s="289"/>
      <c r="K282" s="286"/>
      <c r="L282" s="286"/>
      <c r="M282" s="286"/>
      <c r="N282" s="286"/>
    </row>
    <row r="283" spans="2:14" hidden="1" x14ac:dyDescent="0.25">
      <c r="B283" s="656"/>
      <c r="C283" s="656"/>
      <c r="D283" s="294"/>
      <c r="E283" s="294"/>
      <c r="F283" s="295"/>
      <c r="G283" s="294"/>
      <c r="I283" s="402"/>
      <c r="J283" s="403"/>
    </row>
    <row r="284" spans="2:14" hidden="1" x14ac:dyDescent="0.25">
      <c r="B284" s="301"/>
      <c r="C284" s="404" t="s">
        <v>809</v>
      </c>
      <c r="D284" s="405" t="s">
        <v>810</v>
      </c>
      <c r="E284" s="404" t="s">
        <v>811</v>
      </c>
      <c r="F284" s="406" t="s">
        <v>812</v>
      </c>
      <c r="G284" s="404" t="s">
        <v>813</v>
      </c>
      <c r="H284" s="404" t="s">
        <v>693</v>
      </c>
      <c r="I284" s="657" t="s">
        <v>814</v>
      </c>
      <c r="J284" s="657"/>
    </row>
    <row r="285" spans="2:14" hidden="1" x14ac:dyDescent="0.25">
      <c r="B285" s="400"/>
      <c r="C285" s="407"/>
      <c r="D285" s="407"/>
      <c r="E285" s="407"/>
      <c r="F285" s="408"/>
      <c r="G285" s="294"/>
      <c r="H285" s="407"/>
      <c r="I285" s="658"/>
      <c r="J285" s="658"/>
    </row>
    <row r="286" spans="2:14" hidden="1" x14ac:dyDescent="0.25">
      <c r="B286" s="400" t="s">
        <v>867</v>
      </c>
      <c r="C286" s="407"/>
      <c r="D286" s="407"/>
      <c r="E286" s="407"/>
      <c r="F286" s="408"/>
      <c r="G286" s="407">
        <v>1</v>
      </c>
      <c r="H286" s="407">
        <f>+G286</f>
        <v>1</v>
      </c>
      <c r="I286" s="658"/>
      <c r="J286" s="658"/>
    </row>
    <row r="287" spans="2:14" ht="9.9499999999999993" hidden="1" customHeight="1" thickBot="1" x14ac:dyDescent="0.3">
      <c r="B287" s="400"/>
      <c r="C287" s="407"/>
      <c r="D287" s="407"/>
      <c r="E287" s="407"/>
      <c r="F287" s="408"/>
      <c r="G287" s="407"/>
      <c r="H287" s="407"/>
      <c r="I287" s="658"/>
      <c r="J287" s="658"/>
    </row>
    <row r="288" spans="2:14" ht="9.9499999999999993" hidden="1" customHeight="1" thickBot="1" x14ac:dyDescent="0.3">
      <c r="B288" s="400"/>
      <c r="C288" s="407"/>
      <c r="D288" s="407"/>
      <c r="E288" s="407"/>
      <c r="F288" s="408"/>
      <c r="G288" s="407"/>
      <c r="H288" s="407"/>
      <c r="I288" s="401"/>
      <c r="J288" s="401"/>
    </row>
    <row r="289" spans="2:14" ht="38.25" hidden="1" customHeight="1" thickBot="1" x14ac:dyDescent="0.3">
      <c r="B289" s="300"/>
      <c r="C289" s="294"/>
      <c r="D289" s="294"/>
      <c r="E289" s="294"/>
      <c r="F289" s="295"/>
      <c r="G289" s="294" t="s">
        <v>693</v>
      </c>
      <c r="H289" s="407">
        <f>SUM(H285:H288)</f>
        <v>1</v>
      </c>
      <c r="I289" s="654"/>
      <c r="J289" s="654"/>
    </row>
    <row r="290" spans="2:14" ht="20.25" hidden="1" customHeight="1" thickBot="1" x14ac:dyDescent="0.3">
      <c r="B290" s="300"/>
      <c r="C290" s="294"/>
      <c r="D290" s="294"/>
      <c r="E290" s="294"/>
      <c r="F290" s="295"/>
      <c r="G290" s="294"/>
      <c r="H290" s="294"/>
      <c r="I290" s="301"/>
      <c r="J290" s="289"/>
    </row>
    <row r="291" spans="2:14" ht="20.25" hidden="1" customHeight="1" thickBot="1" x14ac:dyDescent="0.3">
      <c r="B291" s="665"/>
      <c r="C291" s="665"/>
      <c r="D291" s="665"/>
      <c r="E291" s="665"/>
      <c r="F291" s="665"/>
      <c r="G291" s="665"/>
      <c r="H291" s="665"/>
      <c r="I291" s="414"/>
      <c r="J291" s="414"/>
    </row>
    <row r="292" spans="2:14" ht="20.25" hidden="1" customHeight="1" thickBot="1" x14ac:dyDescent="0.3">
      <c r="B292" s="415" t="s">
        <v>815</v>
      </c>
      <c r="C292" s="416">
        <f>+H289</f>
        <v>1</v>
      </c>
      <c r="D292" s="416"/>
      <c r="E292" s="416"/>
      <c r="F292" s="416"/>
      <c r="G292" s="416"/>
      <c r="H292" s="416"/>
      <c r="I292" s="301"/>
    </row>
    <row r="293" spans="2:14" ht="20.25" hidden="1" customHeight="1" x14ac:dyDescent="0.25">
      <c r="B293" s="300"/>
      <c r="C293" s="294"/>
      <c r="D293" s="294"/>
      <c r="E293" s="294"/>
      <c r="F293" s="295"/>
      <c r="G293" s="294"/>
      <c r="H293" s="294"/>
      <c r="I293" s="301"/>
    </row>
    <row r="294" spans="2:14" ht="20.25" hidden="1" customHeight="1" thickBot="1" x14ac:dyDescent="0.3">
      <c r="B294" s="305"/>
      <c r="C294" s="305"/>
      <c r="D294" s="305"/>
      <c r="E294" s="305"/>
      <c r="F294" s="305"/>
      <c r="G294" s="305"/>
      <c r="H294" s="306"/>
      <c r="I294" s="301"/>
    </row>
    <row r="295" spans="2:14" ht="20.25" hidden="1" customHeight="1" x14ac:dyDescent="0.25">
      <c r="B295" s="305"/>
      <c r="C295" s="305"/>
      <c r="D295" s="305"/>
      <c r="E295" s="305"/>
      <c r="F295" s="305"/>
      <c r="G295" s="305"/>
      <c r="H295" s="306"/>
      <c r="I295" s="301"/>
    </row>
    <row r="296" spans="2:14" ht="20.25" hidden="1" customHeight="1" thickBot="1" x14ac:dyDescent="0.3">
      <c r="F296" s="284"/>
    </row>
    <row r="297" spans="2:14" ht="15.75" hidden="1" customHeight="1" thickBot="1" x14ac:dyDescent="0.3">
      <c r="B297" s="659" t="s">
        <v>805</v>
      </c>
      <c r="C297" s="659"/>
      <c r="D297" s="659"/>
      <c r="E297" s="659"/>
      <c r="F297" s="659"/>
      <c r="G297" s="660"/>
      <c r="H297" s="660"/>
      <c r="I297" s="660"/>
      <c r="J297" s="660"/>
    </row>
    <row r="298" spans="2:14" ht="20.25" hidden="1" customHeight="1" x14ac:dyDescent="0.25">
      <c r="F298" s="284"/>
    </row>
    <row r="299" spans="2:14" ht="20.25" hidden="1" customHeight="1" x14ac:dyDescent="0.25">
      <c r="B299" s="661" t="s">
        <v>806</v>
      </c>
      <c r="C299" s="662" t="s">
        <v>816</v>
      </c>
      <c r="D299" s="662"/>
      <c r="E299" s="662"/>
      <c r="F299" s="662"/>
      <c r="G299" s="662"/>
      <c r="H299" s="662"/>
      <c r="I299" s="662"/>
      <c r="J299" s="662"/>
    </row>
    <row r="300" spans="2:14" ht="20.25" hidden="1" customHeight="1" x14ac:dyDescent="0.25">
      <c r="B300" s="661"/>
      <c r="C300" s="662"/>
      <c r="D300" s="662"/>
      <c r="E300" s="662"/>
      <c r="F300" s="662"/>
      <c r="G300" s="662"/>
      <c r="H300" s="662"/>
      <c r="I300" s="662"/>
      <c r="J300" s="662"/>
    </row>
    <row r="301" spans="2:14" ht="18" hidden="1" x14ac:dyDescent="0.25">
      <c r="C301" s="413" t="s">
        <v>807</v>
      </c>
      <c r="D301" s="663" t="s">
        <v>819</v>
      </c>
      <c r="E301" s="664"/>
      <c r="F301" s="287" t="s">
        <v>817</v>
      </c>
      <c r="G301" s="663" t="s">
        <v>852</v>
      </c>
      <c r="H301" s="664"/>
      <c r="I301" s="663" t="s">
        <v>820</v>
      </c>
      <c r="J301" s="664"/>
    </row>
    <row r="302" spans="2:14" ht="56.25" hidden="1" customHeight="1" thickBot="1" x14ac:dyDescent="0.3">
      <c r="F302" s="284"/>
    </row>
    <row r="303" spans="2:14" hidden="1" x14ac:dyDescent="0.25">
      <c r="B303" s="666" t="s">
        <v>808</v>
      </c>
      <c r="C303" s="666"/>
      <c r="D303" s="666"/>
      <c r="E303" s="666"/>
      <c r="F303" s="284"/>
      <c r="G303" s="666" t="s">
        <v>52</v>
      </c>
      <c r="H303" s="666"/>
      <c r="I303" s="666"/>
    </row>
    <row r="304" spans="2:14" ht="15.75" hidden="1" customHeight="1" thickBot="1" x14ac:dyDescent="0.3">
      <c r="B304" s="655" t="str">
        <f>+'ACTA 2'!B36</f>
        <v xml:space="preserve">Suministro e instalación unión rápida  D=3" </v>
      </c>
      <c r="C304" s="655"/>
      <c r="D304" s="655"/>
      <c r="E304" s="655"/>
      <c r="F304" s="655"/>
      <c r="G304" s="655" t="str">
        <f>+'ACTA 2'!C36</f>
        <v>UND</v>
      </c>
      <c r="H304" s="655"/>
      <c r="I304" s="655"/>
      <c r="K304" s="286"/>
      <c r="L304" s="286"/>
      <c r="M304" s="286"/>
      <c r="N304" s="286"/>
    </row>
    <row r="305" spans="2:14" ht="35.1" hidden="1" customHeight="1" x14ac:dyDescent="0.25">
      <c r="B305" s="289"/>
      <c r="C305" s="290"/>
      <c r="D305" s="290"/>
      <c r="E305" s="290"/>
      <c r="F305" s="291"/>
      <c r="G305" s="290"/>
      <c r="H305" s="290"/>
      <c r="I305" s="292"/>
      <c r="J305" s="289"/>
      <c r="K305" s="286"/>
      <c r="L305" s="286"/>
      <c r="M305" s="286"/>
      <c r="N305" s="286"/>
    </row>
    <row r="306" spans="2:14" hidden="1" x14ac:dyDescent="0.25">
      <c r="B306" s="656"/>
      <c r="C306" s="656"/>
      <c r="D306" s="294"/>
      <c r="E306" s="294"/>
      <c r="F306" s="295"/>
      <c r="G306" s="294"/>
      <c r="I306" s="402"/>
      <c r="J306" s="403"/>
    </row>
    <row r="307" spans="2:14" hidden="1" x14ac:dyDescent="0.25">
      <c r="B307" s="301"/>
      <c r="C307" s="404" t="s">
        <v>809</v>
      </c>
      <c r="D307" s="405" t="s">
        <v>810</v>
      </c>
      <c r="E307" s="404" t="s">
        <v>811</v>
      </c>
      <c r="F307" s="406" t="s">
        <v>812</v>
      </c>
      <c r="G307" s="404" t="s">
        <v>813</v>
      </c>
      <c r="H307" s="404" t="s">
        <v>693</v>
      </c>
      <c r="I307" s="657" t="s">
        <v>814</v>
      </c>
      <c r="J307" s="657"/>
    </row>
    <row r="308" spans="2:14" hidden="1" x14ac:dyDescent="0.25">
      <c r="B308" s="400"/>
      <c r="C308" s="407"/>
      <c r="D308" s="407"/>
      <c r="E308" s="407"/>
      <c r="F308" s="408"/>
      <c r="G308" s="294"/>
      <c r="H308" s="407"/>
      <c r="I308" s="658"/>
      <c r="J308" s="658"/>
    </row>
    <row r="309" spans="2:14" hidden="1" x14ac:dyDescent="0.25">
      <c r="B309" s="400" t="s">
        <v>823</v>
      </c>
      <c r="C309" s="407"/>
      <c r="D309" s="407"/>
      <c r="E309" s="407"/>
      <c r="F309" s="408"/>
      <c r="G309" s="407">
        <v>4</v>
      </c>
      <c r="H309" s="407">
        <f>+G309</f>
        <v>4</v>
      </c>
      <c r="I309" s="658"/>
      <c r="J309" s="658"/>
    </row>
    <row r="310" spans="2:14" ht="9.9499999999999993" hidden="1" customHeight="1" thickBot="1" x14ac:dyDescent="0.3">
      <c r="B310" s="400"/>
      <c r="C310" s="407"/>
      <c r="D310" s="407"/>
      <c r="E310" s="407"/>
      <c r="F310" s="408"/>
      <c r="G310" s="407"/>
      <c r="H310" s="407"/>
      <c r="I310" s="658"/>
      <c r="J310" s="658"/>
    </row>
    <row r="311" spans="2:14" ht="9.9499999999999993" hidden="1" customHeight="1" thickBot="1" x14ac:dyDescent="0.3">
      <c r="B311" s="400"/>
      <c r="C311" s="407"/>
      <c r="D311" s="407"/>
      <c r="E311" s="407"/>
      <c r="F311" s="408"/>
      <c r="G311" s="407"/>
      <c r="H311" s="407"/>
      <c r="I311" s="401"/>
      <c r="J311" s="401"/>
    </row>
    <row r="312" spans="2:14" ht="38.25" hidden="1" customHeight="1" thickBot="1" x14ac:dyDescent="0.3">
      <c r="B312" s="300"/>
      <c r="C312" s="294"/>
      <c r="D312" s="294"/>
      <c r="E312" s="294"/>
      <c r="F312" s="295"/>
      <c r="G312" s="294" t="s">
        <v>693</v>
      </c>
      <c r="H312" s="407">
        <f>SUM(H308:H311)</f>
        <v>4</v>
      </c>
      <c r="I312" s="654"/>
      <c r="J312" s="654"/>
    </row>
    <row r="313" spans="2:14" ht="20.25" hidden="1" customHeight="1" thickBot="1" x14ac:dyDescent="0.3">
      <c r="B313" s="300"/>
      <c r="C313" s="294"/>
      <c r="D313" s="294"/>
      <c r="E313" s="294"/>
      <c r="F313" s="295"/>
      <c r="G313" s="294"/>
      <c r="H313" s="294"/>
      <c r="I313" s="301"/>
      <c r="J313" s="289"/>
    </row>
    <row r="314" spans="2:14" ht="20.25" hidden="1" customHeight="1" thickBot="1" x14ac:dyDescent="0.3">
      <c r="B314" s="665"/>
      <c r="C314" s="665"/>
      <c r="D314" s="665"/>
      <c r="E314" s="665"/>
      <c r="F314" s="665"/>
      <c r="G314" s="665"/>
      <c r="H314" s="665"/>
      <c r="I314" s="414"/>
      <c r="J314" s="414"/>
    </row>
    <row r="315" spans="2:14" ht="20.25" hidden="1" customHeight="1" thickBot="1" x14ac:dyDescent="0.3">
      <c r="B315" s="415" t="s">
        <v>815</v>
      </c>
      <c r="C315" s="416">
        <f>+H312</f>
        <v>4</v>
      </c>
      <c r="D315" s="416"/>
      <c r="E315" s="416"/>
      <c r="F315" s="416"/>
      <c r="G315" s="416"/>
      <c r="H315" s="416"/>
      <c r="I315" s="301"/>
    </row>
    <row r="316" spans="2:14" ht="20.25" hidden="1" customHeight="1" x14ac:dyDescent="0.25">
      <c r="B316" s="300"/>
      <c r="C316" s="294"/>
      <c r="D316" s="294"/>
      <c r="E316" s="294"/>
      <c r="F316" s="295"/>
      <c r="G316" s="294"/>
      <c r="H316" s="294"/>
      <c r="I316" s="301"/>
    </row>
    <row r="317" spans="2:14" ht="20.25" hidden="1" customHeight="1" thickBot="1" x14ac:dyDescent="0.3">
      <c r="B317" s="305"/>
      <c r="C317" s="305"/>
      <c r="D317" s="305"/>
      <c r="E317" s="305"/>
      <c r="F317" s="305"/>
      <c r="G317" s="305"/>
      <c r="H317" s="306"/>
      <c r="I317" s="301"/>
    </row>
    <row r="318" spans="2:14" ht="20.25" hidden="1" customHeight="1" x14ac:dyDescent="0.25">
      <c r="F318" s="284"/>
    </row>
    <row r="319" spans="2:14" ht="20.25" hidden="1" customHeight="1" thickBot="1" x14ac:dyDescent="0.3">
      <c r="F319" s="284"/>
    </row>
    <row r="320" spans="2:14" ht="15.75" hidden="1" customHeight="1" thickBot="1" x14ac:dyDescent="0.3">
      <c r="B320" s="659" t="s">
        <v>805</v>
      </c>
      <c r="C320" s="659"/>
      <c r="D320" s="659"/>
      <c r="E320" s="659"/>
      <c r="F320" s="659"/>
      <c r="G320" s="660"/>
      <c r="H320" s="660"/>
      <c r="I320" s="660"/>
      <c r="J320" s="660"/>
    </row>
    <row r="321" spans="2:14" ht="20.25" hidden="1" customHeight="1" x14ac:dyDescent="0.25">
      <c r="F321" s="284"/>
    </row>
    <row r="322" spans="2:14" ht="20.25" hidden="1" customHeight="1" x14ac:dyDescent="0.25">
      <c r="B322" s="661" t="s">
        <v>806</v>
      </c>
      <c r="C322" s="662" t="s">
        <v>816</v>
      </c>
      <c r="D322" s="662"/>
      <c r="E322" s="662"/>
      <c r="F322" s="662"/>
      <c r="G322" s="662"/>
      <c r="H322" s="662"/>
      <c r="I322" s="662"/>
      <c r="J322" s="662"/>
    </row>
    <row r="323" spans="2:14" hidden="1" x14ac:dyDescent="0.25">
      <c r="B323" s="661"/>
      <c r="C323" s="662"/>
      <c r="D323" s="662"/>
      <c r="E323" s="662"/>
      <c r="F323" s="662"/>
      <c r="G323" s="662"/>
      <c r="H323" s="662"/>
      <c r="I323" s="662"/>
      <c r="J323" s="662"/>
    </row>
    <row r="324" spans="2:14" ht="18" hidden="1" x14ac:dyDescent="0.25">
      <c r="C324" s="413" t="s">
        <v>807</v>
      </c>
      <c r="D324" s="663" t="s">
        <v>819</v>
      </c>
      <c r="E324" s="664"/>
      <c r="F324" s="287" t="s">
        <v>817</v>
      </c>
      <c r="G324" s="663" t="s">
        <v>852</v>
      </c>
      <c r="H324" s="664"/>
      <c r="I324" s="663" t="s">
        <v>820</v>
      </c>
      <c r="J324" s="664"/>
    </row>
    <row r="325" spans="2:14" ht="56.25" hidden="1" customHeight="1" thickBot="1" x14ac:dyDescent="0.3">
      <c r="F325" s="284"/>
    </row>
    <row r="326" spans="2:14" hidden="1" x14ac:dyDescent="0.25">
      <c r="B326" s="666" t="s">
        <v>808</v>
      </c>
      <c r="C326" s="666"/>
      <c r="D326" s="666"/>
      <c r="E326" s="666"/>
      <c r="F326" s="284"/>
      <c r="G326" s="666" t="s">
        <v>52</v>
      </c>
      <c r="H326" s="666"/>
      <c r="I326" s="666"/>
    </row>
    <row r="327" spans="2:14" ht="15.75" hidden="1" customHeight="1" thickBot="1" x14ac:dyDescent="0.3">
      <c r="B327" s="655" t="str">
        <f>+'ACTA 2'!B37</f>
        <v xml:space="preserve">Suministro e instalación unión rápida  D=2" </v>
      </c>
      <c r="C327" s="655"/>
      <c r="D327" s="655"/>
      <c r="E327" s="655"/>
      <c r="F327" s="655"/>
      <c r="G327" s="655" t="str">
        <f>+'ACTA 2'!C37</f>
        <v>UND</v>
      </c>
      <c r="H327" s="655"/>
      <c r="I327" s="655"/>
      <c r="K327" s="286"/>
      <c r="L327" s="286"/>
      <c r="M327" s="286"/>
      <c r="N327" s="286"/>
    </row>
    <row r="328" spans="2:14" ht="35.1" hidden="1" customHeight="1" x14ac:dyDescent="0.25">
      <c r="B328" s="289"/>
      <c r="C328" s="290"/>
      <c r="D328" s="290"/>
      <c r="E328" s="290"/>
      <c r="F328" s="291"/>
      <c r="G328" s="290"/>
      <c r="H328" s="290"/>
      <c r="I328" s="292"/>
      <c r="J328" s="289"/>
      <c r="K328" s="286"/>
      <c r="L328" s="286"/>
      <c r="M328" s="286"/>
      <c r="N328" s="286"/>
    </row>
    <row r="329" spans="2:14" hidden="1" x14ac:dyDescent="0.25">
      <c r="B329" s="656"/>
      <c r="C329" s="656"/>
      <c r="D329" s="294"/>
      <c r="E329" s="294"/>
      <c r="F329" s="295"/>
      <c r="G329" s="294"/>
      <c r="I329" s="402"/>
      <c r="J329" s="403"/>
    </row>
    <row r="330" spans="2:14" hidden="1" x14ac:dyDescent="0.25">
      <c r="B330" s="301"/>
      <c r="C330" s="404" t="s">
        <v>809</v>
      </c>
      <c r="D330" s="405" t="s">
        <v>810</v>
      </c>
      <c r="E330" s="404" t="s">
        <v>811</v>
      </c>
      <c r="F330" s="406" t="s">
        <v>812</v>
      </c>
      <c r="G330" s="404" t="s">
        <v>813</v>
      </c>
      <c r="H330" s="404" t="s">
        <v>693</v>
      </c>
      <c r="I330" s="657" t="s">
        <v>814</v>
      </c>
      <c r="J330" s="657"/>
    </row>
    <row r="331" spans="2:14" hidden="1" x14ac:dyDescent="0.25">
      <c r="B331" s="400"/>
      <c r="C331" s="407"/>
      <c r="D331" s="407"/>
      <c r="E331" s="407"/>
      <c r="F331" s="408"/>
      <c r="G331" s="294"/>
      <c r="H331" s="407"/>
      <c r="I331" s="658"/>
      <c r="J331" s="658"/>
    </row>
    <row r="332" spans="2:14" hidden="1" x14ac:dyDescent="0.25">
      <c r="B332" s="400" t="s">
        <v>824</v>
      </c>
      <c r="C332" s="407"/>
      <c r="D332" s="407"/>
      <c r="E332" s="407"/>
      <c r="F332" s="408"/>
      <c r="G332" s="407">
        <v>2</v>
      </c>
      <c r="H332" s="407">
        <f>+G332</f>
        <v>2</v>
      </c>
      <c r="I332" s="658"/>
      <c r="J332" s="658"/>
    </row>
    <row r="333" spans="2:14" ht="9.9499999999999993" hidden="1" customHeight="1" thickBot="1" x14ac:dyDescent="0.3">
      <c r="B333" s="400"/>
      <c r="C333" s="407"/>
      <c r="D333" s="407"/>
      <c r="E333" s="407"/>
      <c r="F333" s="408"/>
      <c r="G333" s="407"/>
      <c r="H333" s="407"/>
      <c r="I333" s="658"/>
      <c r="J333" s="658"/>
    </row>
    <row r="334" spans="2:14" ht="9.9499999999999993" hidden="1" customHeight="1" thickBot="1" x14ac:dyDescent="0.3">
      <c r="B334" s="400"/>
      <c r="C334" s="407"/>
      <c r="D334" s="407"/>
      <c r="E334" s="407"/>
      <c r="F334" s="408"/>
      <c r="G334" s="407"/>
      <c r="H334" s="407"/>
      <c r="I334" s="401"/>
      <c r="J334" s="401"/>
    </row>
    <row r="335" spans="2:14" ht="38.25" hidden="1" customHeight="1" thickBot="1" x14ac:dyDescent="0.3">
      <c r="B335" s="300"/>
      <c r="C335" s="294"/>
      <c r="D335" s="294"/>
      <c r="E335" s="294"/>
      <c r="F335" s="295"/>
      <c r="G335" s="294" t="s">
        <v>693</v>
      </c>
      <c r="H335" s="407">
        <f>SUM(H331:H334)</f>
        <v>2</v>
      </c>
      <c r="I335" s="654"/>
      <c r="J335" s="654"/>
    </row>
    <row r="336" spans="2:14" ht="20.25" hidden="1" customHeight="1" thickBot="1" x14ac:dyDescent="0.3">
      <c r="B336" s="300"/>
      <c r="C336" s="294"/>
      <c r="D336" s="294"/>
      <c r="E336" s="294"/>
      <c r="F336" s="295"/>
      <c r="G336" s="294"/>
      <c r="H336" s="294"/>
      <c r="I336" s="301"/>
      <c r="J336" s="289"/>
    </row>
    <row r="337" spans="2:14" ht="20.25" hidden="1" customHeight="1" thickBot="1" x14ac:dyDescent="0.3">
      <c r="B337" s="665"/>
      <c r="C337" s="665"/>
      <c r="D337" s="665"/>
      <c r="E337" s="665"/>
      <c r="F337" s="665"/>
      <c r="G337" s="665"/>
      <c r="H337" s="665"/>
      <c r="I337" s="414"/>
      <c r="J337" s="414"/>
    </row>
    <row r="338" spans="2:14" ht="20.25" hidden="1" customHeight="1" thickBot="1" x14ac:dyDescent="0.3">
      <c r="B338" s="415" t="s">
        <v>815</v>
      </c>
      <c r="C338" s="416">
        <f>+H335</f>
        <v>2</v>
      </c>
      <c r="D338" s="416"/>
      <c r="E338" s="416"/>
      <c r="F338" s="416"/>
      <c r="G338" s="416"/>
      <c r="H338" s="416"/>
      <c r="I338" s="301"/>
    </row>
    <row r="339" spans="2:14" ht="20.25" hidden="1" customHeight="1" x14ac:dyDescent="0.25">
      <c r="B339" s="300"/>
      <c r="C339" s="294"/>
      <c r="D339" s="294"/>
      <c r="E339" s="294"/>
      <c r="F339" s="295"/>
      <c r="G339" s="294"/>
      <c r="H339" s="294"/>
      <c r="I339" s="301"/>
    </row>
    <row r="340" spans="2:14" ht="20.25" hidden="1" customHeight="1" thickBot="1" x14ac:dyDescent="0.3">
      <c r="B340" s="305"/>
      <c r="C340" s="305"/>
      <c r="D340" s="305"/>
      <c r="E340" s="305"/>
      <c r="F340" s="305"/>
      <c r="G340" s="305"/>
      <c r="H340" s="306"/>
      <c r="I340" s="301"/>
    </row>
    <row r="341" spans="2:14" ht="20.25" hidden="1" customHeight="1" x14ac:dyDescent="0.25">
      <c r="F341" s="284"/>
    </row>
    <row r="342" spans="2:14" ht="20.25" hidden="1" customHeight="1" thickBot="1" x14ac:dyDescent="0.3">
      <c r="F342" s="284"/>
    </row>
    <row r="343" spans="2:14" ht="15.75" hidden="1" customHeight="1" thickBot="1" x14ac:dyDescent="0.3">
      <c r="B343" s="659" t="s">
        <v>805</v>
      </c>
      <c r="C343" s="659"/>
      <c r="D343" s="659"/>
      <c r="E343" s="659"/>
      <c r="F343" s="659"/>
      <c r="G343" s="660"/>
      <c r="H343" s="660"/>
      <c r="I343" s="660"/>
      <c r="J343" s="660"/>
    </row>
    <row r="344" spans="2:14" ht="20.25" hidden="1" customHeight="1" x14ac:dyDescent="0.25">
      <c r="F344" s="284"/>
    </row>
    <row r="345" spans="2:14" ht="20.25" hidden="1" customHeight="1" x14ac:dyDescent="0.25">
      <c r="B345" s="661" t="s">
        <v>806</v>
      </c>
      <c r="C345" s="662" t="s">
        <v>816</v>
      </c>
      <c r="D345" s="662"/>
      <c r="E345" s="662"/>
      <c r="F345" s="662"/>
      <c r="G345" s="662"/>
      <c r="H345" s="662"/>
      <c r="I345" s="662"/>
      <c r="J345" s="662"/>
    </row>
    <row r="346" spans="2:14" hidden="1" x14ac:dyDescent="0.25">
      <c r="B346" s="661"/>
      <c r="C346" s="662"/>
      <c r="D346" s="662"/>
      <c r="E346" s="662"/>
      <c r="F346" s="662"/>
      <c r="G346" s="662"/>
      <c r="H346" s="662"/>
      <c r="I346" s="662"/>
      <c r="J346" s="662"/>
    </row>
    <row r="347" spans="2:14" ht="18" hidden="1" x14ac:dyDescent="0.25">
      <c r="C347" s="413" t="s">
        <v>807</v>
      </c>
      <c r="D347" s="663" t="s">
        <v>819</v>
      </c>
      <c r="E347" s="664"/>
      <c r="F347" s="287" t="s">
        <v>817</v>
      </c>
      <c r="G347" s="663" t="s">
        <v>852</v>
      </c>
      <c r="H347" s="664"/>
      <c r="I347" s="663" t="s">
        <v>820</v>
      </c>
      <c r="J347" s="664"/>
    </row>
    <row r="348" spans="2:14" ht="56.25" hidden="1" customHeight="1" thickBot="1" x14ac:dyDescent="0.3">
      <c r="F348" s="284"/>
    </row>
    <row r="349" spans="2:14" hidden="1" x14ac:dyDescent="0.25">
      <c r="B349" s="666" t="s">
        <v>808</v>
      </c>
      <c r="C349" s="666"/>
      <c r="D349" s="666"/>
      <c r="E349" s="666"/>
      <c r="F349" s="284"/>
      <c r="G349" s="666" t="s">
        <v>52</v>
      </c>
      <c r="H349" s="666"/>
      <c r="I349" s="666"/>
    </row>
    <row r="350" spans="2:14" ht="15.75" hidden="1" customHeight="1" thickBot="1" x14ac:dyDescent="0.3">
      <c r="B350" s="655" t="str">
        <f>+'ACTA 2'!B38</f>
        <v xml:space="preserve">Suministro e instalación unión rápida  D=4" </v>
      </c>
      <c r="C350" s="655"/>
      <c r="D350" s="655"/>
      <c r="E350" s="655"/>
      <c r="F350" s="655"/>
      <c r="G350" s="655" t="str">
        <f>+'ACTA 2'!C38</f>
        <v>UND</v>
      </c>
      <c r="H350" s="655"/>
      <c r="I350" s="655"/>
      <c r="K350" s="286"/>
      <c r="L350" s="286"/>
      <c r="M350" s="286"/>
      <c r="N350" s="286"/>
    </row>
    <row r="351" spans="2:14" ht="35.1" hidden="1" customHeight="1" x14ac:dyDescent="0.25">
      <c r="B351" s="289"/>
      <c r="C351" s="290"/>
      <c r="D351" s="290"/>
      <c r="E351" s="290"/>
      <c r="F351" s="291"/>
      <c r="G351" s="290"/>
      <c r="H351" s="290"/>
      <c r="I351" s="292"/>
      <c r="J351" s="289"/>
      <c r="K351" s="286"/>
      <c r="L351" s="286"/>
      <c r="M351" s="286"/>
      <c r="N351" s="286"/>
    </row>
    <row r="352" spans="2:14" hidden="1" x14ac:dyDescent="0.25">
      <c r="B352" s="656"/>
      <c r="C352" s="656"/>
      <c r="D352" s="294"/>
      <c r="E352" s="294"/>
      <c r="F352" s="295"/>
      <c r="G352" s="294"/>
      <c r="I352" s="402"/>
      <c r="J352" s="403"/>
    </row>
    <row r="353" spans="2:10" hidden="1" x14ac:dyDescent="0.25">
      <c r="B353" s="301"/>
      <c r="C353" s="404" t="s">
        <v>809</v>
      </c>
      <c r="D353" s="405" t="s">
        <v>810</v>
      </c>
      <c r="E353" s="404" t="s">
        <v>811</v>
      </c>
      <c r="F353" s="406" t="s">
        <v>812</v>
      </c>
      <c r="G353" s="404" t="s">
        <v>813</v>
      </c>
      <c r="H353" s="404" t="s">
        <v>693</v>
      </c>
      <c r="I353" s="657" t="s">
        <v>814</v>
      </c>
      <c r="J353" s="657"/>
    </row>
    <row r="354" spans="2:10" hidden="1" x14ac:dyDescent="0.25">
      <c r="B354" s="400"/>
      <c r="C354" s="407"/>
      <c r="D354" s="407"/>
      <c r="E354" s="407"/>
      <c r="F354" s="408"/>
      <c r="G354" s="294"/>
      <c r="H354" s="407"/>
      <c r="I354" s="658"/>
      <c r="J354" s="658"/>
    </row>
    <row r="355" spans="2:10" hidden="1" x14ac:dyDescent="0.25">
      <c r="B355" s="400" t="s">
        <v>825</v>
      </c>
      <c r="C355" s="407"/>
      <c r="D355" s="407"/>
      <c r="E355" s="407"/>
      <c r="F355" s="408"/>
      <c r="G355" s="407">
        <v>6</v>
      </c>
      <c r="H355" s="407">
        <f>+G355</f>
        <v>6</v>
      </c>
      <c r="I355" s="658"/>
      <c r="J355" s="658"/>
    </row>
    <row r="356" spans="2:10" ht="9.9499999999999993" hidden="1" customHeight="1" thickBot="1" x14ac:dyDescent="0.3">
      <c r="B356" s="400"/>
      <c r="C356" s="407"/>
      <c r="D356" s="407"/>
      <c r="E356" s="407"/>
      <c r="F356" s="408"/>
      <c r="G356" s="407"/>
      <c r="H356" s="407"/>
      <c r="I356" s="658"/>
      <c r="J356" s="658"/>
    </row>
    <row r="357" spans="2:10" ht="9.9499999999999993" hidden="1" customHeight="1" thickBot="1" x14ac:dyDescent="0.3">
      <c r="B357" s="400"/>
      <c r="C357" s="407"/>
      <c r="D357" s="407"/>
      <c r="E357" s="407"/>
      <c r="F357" s="408"/>
      <c r="G357" s="407"/>
      <c r="H357" s="407"/>
      <c r="I357" s="401"/>
      <c r="J357" s="401"/>
    </row>
    <row r="358" spans="2:10" ht="38.25" hidden="1" customHeight="1" thickBot="1" x14ac:dyDescent="0.3">
      <c r="B358" s="300"/>
      <c r="C358" s="294"/>
      <c r="D358" s="294"/>
      <c r="E358" s="294"/>
      <c r="F358" s="295"/>
      <c r="G358" s="294" t="s">
        <v>693</v>
      </c>
      <c r="H358" s="407">
        <f>SUM(H354:H357)</f>
        <v>6</v>
      </c>
      <c r="I358" s="654"/>
      <c r="J358" s="654"/>
    </row>
    <row r="359" spans="2:10" ht="20.25" hidden="1" customHeight="1" thickBot="1" x14ac:dyDescent="0.3">
      <c r="B359" s="300"/>
      <c r="C359" s="294"/>
      <c r="D359" s="294"/>
      <c r="E359" s="294"/>
      <c r="F359" s="295"/>
      <c r="G359" s="294"/>
      <c r="H359" s="294"/>
      <c r="I359" s="301"/>
      <c r="J359" s="289"/>
    </row>
    <row r="360" spans="2:10" ht="20.25" hidden="1" customHeight="1" thickBot="1" x14ac:dyDescent="0.3">
      <c r="B360" s="665"/>
      <c r="C360" s="665"/>
      <c r="D360" s="665"/>
      <c r="E360" s="665"/>
      <c r="F360" s="665"/>
      <c r="G360" s="665"/>
      <c r="H360" s="665"/>
      <c r="I360" s="414"/>
      <c r="J360" s="414"/>
    </row>
    <row r="361" spans="2:10" ht="20.25" hidden="1" customHeight="1" thickBot="1" x14ac:dyDescent="0.3">
      <c r="B361" s="415" t="s">
        <v>815</v>
      </c>
      <c r="C361" s="416">
        <f>+H358</f>
        <v>6</v>
      </c>
      <c r="D361" s="416"/>
      <c r="E361" s="416"/>
      <c r="F361" s="416"/>
      <c r="G361" s="416"/>
      <c r="H361" s="416"/>
      <c r="I361" s="301"/>
    </row>
    <row r="362" spans="2:10" ht="20.25" hidden="1" customHeight="1" x14ac:dyDescent="0.25">
      <c r="B362" s="300"/>
      <c r="C362" s="294"/>
      <c r="D362" s="294"/>
      <c r="E362" s="294"/>
      <c r="F362" s="295"/>
      <c r="G362" s="294"/>
      <c r="H362" s="294"/>
      <c r="I362" s="301"/>
    </row>
    <row r="363" spans="2:10" ht="20.25" hidden="1" customHeight="1" thickBot="1" x14ac:dyDescent="0.3">
      <c r="B363" s="305"/>
      <c r="C363" s="305"/>
      <c r="D363" s="305"/>
      <c r="E363" s="305"/>
      <c r="F363" s="305"/>
      <c r="G363" s="305"/>
      <c r="H363" s="306"/>
      <c r="I363" s="301"/>
    </row>
    <row r="364" spans="2:10" ht="20.25" hidden="1" customHeight="1" x14ac:dyDescent="0.25">
      <c r="F364" s="284"/>
    </row>
    <row r="365" spans="2:10" ht="20.25" hidden="1" customHeight="1" thickBot="1" x14ac:dyDescent="0.3">
      <c r="F365" s="284"/>
    </row>
    <row r="366" spans="2:10" ht="15.75" hidden="1" customHeight="1" thickBot="1" x14ac:dyDescent="0.3">
      <c r="B366" s="659" t="s">
        <v>805</v>
      </c>
      <c r="C366" s="659"/>
      <c r="D366" s="659"/>
      <c r="E366" s="659"/>
      <c r="F366" s="659"/>
      <c r="G366" s="660"/>
      <c r="H366" s="660"/>
      <c r="I366" s="660"/>
      <c r="J366" s="660"/>
    </row>
    <row r="367" spans="2:10" ht="20.25" hidden="1" customHeight="1" x14ac:dyDescent="0.25">
      <c r="F367" s="284"/>
    </row>
    <row r="368" spans="2:10" ht="20.25" hidden="1" customHeight="1" x14ac:dyDescent="0.25">
      <c r="B368" s="661" t="s">
        <v>806</v>
      </c>
      <c r="C368" s="662" t="s">
        <v>816</v>
      </c>
      <c r="D368" s="662"/>
      <c r="E368" s="662"/>
      <c r="F368" s="662"/>
      <c r="G368" s="662"/>
      <c r="H368" s="662"/>
      <c r="I368" s="662"/>
      <c r="J368" s="662"/>
    </row>
    <row r="369" spans="2:14" hidden="1" x14ac:dyDescent="0.25">
      <c r="B369" s="661"/>
      <c r="C369" s="662"/>
      <c r="D369" s="662"/>
      <c r="E369" s="662"/>
      <c r="F369" s="662"/>
      <c r="G369" s="662"/>
      <c r="H369" s="662"/>
      <c r="I369" s="662"/>
      <c r="J369" s="662"/>
    </row>
    <row r="370" spans="2:14" ht="18" hidden="1" x14ac:dyDescent="0.25">
      <c r="C370" s="413" t="s">
        <v>807</v>
      </c>
      <c r="D370" s="663" t="s">
        <v>819</v>
      </c>
      <c r="E370" s="664"/>
      <c r="F370" s="287" t="s">
        <v>817</v>
      </c>
      <c r="G370" s="663" t="s">
        <v>852</v>
      </c>
      <c r="H370" s="664"/>
      <c r="I370" s="663" t="s">
        <v>820</v>
      </c>
      <c r="J370" s="664"/>
    </row>
    <row r="371" spans="2:14" ht="56.25" hidden="1" customHeight="1" thickBot="1" x14ac:dyDescent="0.3">
      <c r="F371" s="284"/>
    </row>
    <row r="372" spans="2:14" hidden="1" x14ac:dyDescent="0.25">
      <c r="B372" s="666" t="s">
        <v>808</v>
      </c>
      <c r="C372" s="666"/>
      <c r="D372" s="666"/>
      <c r="E372" s="666"/>
      <c r="F372" s="284"/>
      <c r="G372" s="666" t="s">
        <v>52</v>
      </c>
      <c r="H372" s="666"/>
      <c r="I372" s="666"/>
    </row>
    <row r="373" spans="2:14" ht="15.75" hidden="1" customHeight="1" thickBot="1" x14ac:dyDescent="0.3">
      <c r="B373" s="655" t="str">
        <f>+'ACTA 2'!B39</f>
        <v xml:space="preserve">Suministro e instalación unión rápida  D=6" </v>
      </c>
      <c r="C373" s="655"/>
      <c r="D373" s="655"/>
      <c r="E373" s="655"/>
      <c r="F373" s="655"/>
      <c r="G373" s="655" t="str">
        <f>+'ACTA 2'!C39</f>
        <v>UND</v>
      </c>
      <c r="H373" s="655"/>
      <c r="I373" s="655"/>
      <c r="K373" s="286"/>
      <c r="L373" s="286"/>
      <c r="M373" s="286"/>
      <c r="N373" s="286"/>
    </row>
    <row r="374" spans="2:14" ht="35.1" hidden="1" customHeight="1" x14ac:dyDescent="0.25">
      <c r="B374" s="289"/>
      <c r="C374" s="290"/>
      <c r="D374" s="290"/>
      <c r="E374" s="290"/>
      <c r="F374" s="291"/>
      <c r="G374" s="290"/>
      <c r="H374" s="290"/>
      <c r="I374" s="292"/>
      <c r="J374" s="289"/>
      <c r="K374" s="286"/>
      <c r="L374" s="286"/>
      <c r="M374" s="286"/>
      <c r="N374" s="286"/>
    </row>
    <row r="375" spans="2:14" hidden="1" x14ac:dyDescent="0.25">
      <c r="B375" s="656"/>
      <c r="C375" s="656"/>
      <c r="D375" s="294"/>
      <c r="E375" s="294"/>
      <c r="F375" s="295"/>
      <c r="G375" s="294"/>
      <c r="I375" s="402"/>
      <c r="J375" s="403"/>
    </row>
    <row r="376" spans="2:14" hidden="1" x14ac:dyDescent="0.25">
      <c r="B376" s="301"/>
      <c r="C376" s="404" t="s">
        <v>809</v>
      </c>
      <c r="D376" s="405" t="s">
        <v>810</v>
      </c>
      <c r="E376" s="404" t="s">
        <v>811</v>
      </c>
      <c r="F376" s="406" t="s">
        <v>812</v>
      </c>
      <c r="G376" s="404" t="s">
        <v>813</v>
      </c>
      <c r="H376" s="404" t="s">
        <v>693</v>
      </c>
      <c r="I376" s="657" t="s">
        <v>814</v>
      </c>
      <c r="J376" s="657"/>
    </row>
    <row r="377" spans="2:14" hidden="1" x14ac:dyDescent="0.25">
      <c r="B377" s="400"/>
      <c r="C377" s="407"/>
      <c r="D377" s="407"/>
      <c r="E377" s="407"/>
      <c r="F377" s="408"/>
      <c r="G377" s="294"/>
      <c r="H377" s="407"/>
      <c r="I377" s="658"/>
      <c r="J377" s="658"/>
    </row>
    <row r="378" spans="2:14" hidden="1" x14ac:dyDescent="0.25">
      <c r="B378" s="400" t="s">
        <v>826</v>
      </c>
      <c r="C378" s="407"/>
      <c r="D378" s="407"/>
      <c r="E378" s="407"/>
      <c r="F378" s="408"/>
      <c r="G378" s="407">
        <v>18</v>
      </c>
      <c r="H378" s="407">
        <f>+G378</f>
        <v>18</v>
      </c>
      <c r="I378" s="658"/>
      <c r="J378" s="658"/>
    </row>
    <row r="379" spans="2:14" ht="9.9499999999999993" hidden="1" customHeight="1" thickBot="1" x14ac:dyDescent="0.3">
      <c r="B379" s="400"/>
      <c r="C379" s="407"/>
      <c r="D379" s="407"/>
      <c r="E379" s="407"/>
      <c r="F379" s="408"/>
      <c r="G379" s="407"/>
      <c r="H379" s="407"/>
      <c r="I379" s="658"/>
      <c r="J379" s="658"/>
    </row>
    <row r="380" spans="2:14" ht="9.9499999999999993" hidden="1" customHeight="1" thickBot="1" x14ac:dyDescent="0.3">
      <c r="B380" s="400"/>
      <c r="C380" s="407"/>
      <c r="D380" s="407"/>
      <c r="E380" s="407"/>
      <c r="F380" s="408"/>
      <c r="G380" s="407"/>
      <c r="H380" s="407"/>
      <c r="I380" s="401"/>
      <c r="J380" s="401"/>
    </row>
    <row r="381" spans="2:14" ht="38.25" hidden="1" customHeight="1" thickBot="1" x14ac:dyDescent="0.3">
      <c r="B381" s="300"/>
      <c r="C381" s="294"/>
      <c r="D381" s="294"/>
      <c r="E381" s="294"/>
      <c r="F381" s="295"/>
      <c r="G381" s="294" t="s">
        <v>693</v>
      </c>
      <c r="H381" s="407">
        <f>SUM(H377:H380)</f>
        <v>18</v>
      </c>
      <c r="I381" s="654"/>
      <c r="J381" s="654"/>
    </row>
    <row r="382" spans="2:14" ht="20.25" hidden="1" customHeight="1" thickBot="1" x14ac:dyDescent="0.3">
      <c r="B382" s="300"/>
      <c r="C382" s="294"/>
      <c r="D382" s="294"/>
      <c r="E382" s="294"/>
      <c r="F382" s="295"/>
      <c r="G382" s="294"/>
      <c r="H382" s="294"/>
      <c r="I382" s="301"/>
      <c r="J382" s="289"/>
    </row>
    <row r="383" spans="2:14" ht="20.25" hidden="1" customHeight="1" thickBot="1" x14ac:dyDescent="0.3">
      <c r="B383" s="665"/>
      <c r="C383" s="665"/>
      <c r="D383" s="665"/>
      <c r="E383" s="665"/>
      <c r="F383" s="665"/>
      <c r="G383" s="665"/>
      <c r="H383" s="665"/>
      <c r="I383" s="414"/>
      <c r="J383" s="414"/>
    </row>
    <row r="384" spans="2:14" ht="20.25" hidden="1" customHeight="1" thickBot="1" x14ac:dyDescent="0.3">
      <c r="B384" s="415" t="s">
        <v>815</v>
      </c>
      <c r="C384" s="416">
        <f>+H381</f>
        <v>18</v>
      </c>
      <c r="D384" s="416"/>
      <c r="E384" s="416"/>
      <c r="F384" s="416"/>
      <c r="G384" s="416"/>
      <c r="H384" s="416"/>
      <c r="I384" s="301"/>
    </row>
    <row r="385" spans="2:14" ht="20.25" hidden="1" customHeight="1" x14ac:dyDescent="0.25">
      <c r="B385" s="300"/>
      <c r="C385" s="294"/>
      <c r="D385" s="294"/>
      <c r="E385" s="294"/>
      <c r="F385" s="295"/>
      <c r="G385" s="294"/>
      <c r="H385" s="294"/>
      <c r="I385" s="301"/>
    </row>
    <row r="386" spans="2:14" ht="20.25" hidden="1" customHeight="1" thickBot="1" x14ac:dyDescent="0.3">
      <c r="B386" s="305"/>
      <c r="C386" s="305"/>
      <c r="D386" s="305"/>
      <c r="E386" s="305"/>
      <c r="F386" s="305"/>
      <c r="G386" s="305"/>
      <c r="H386" s="306"/>
      <c r="I386" s="301"/>
    </row>
    <row r="387" spans="2:14" ht="20.25" hidden="1" customHeight="1" x14ac:dyDescent="0.25">
      <c r="B387" s="305"/>
      <c r="C387" s="305"/>
      <c r="D387" s="305"/>
      <c r="E387" s="305"/>
      <c r="F387" s="305"/>
      <c r="G387" s="305"/>
      <c r="H387" s="306"/>
      <c r="I387" s="301"/>
    </row>
    <row r="388" spans="2:14" ht="20.25" hidden="1" customHeight="1" thickBot="1" x14ac:dyDescent="0.3">
      <c r="F388" s="284"/>
    </row>
    <row r="389" spans="2:14" ht="15.75" hidden="1" customHeight="1" thickBot="1" x14ac:dyDescent="0.3">
      <c r="B389" s="659" t="s">
        <v>805</v>
      </c>
      <c r="C389" s="659"/>
      <c r="D389" s="659"/>
      <c r="E389" s="659"/>
      <c r="F389" s="659"/>
      <c r="G389" s="660"/>
      <c r="H389" s="660"/>
      <c r="I389" s="660"/>
      <c r="J389" s="660"/>
    </row>
    <row r="390" spans="2:14" ht="20.25" hidden="1" customHeight="1" x14ac:dyDescent="0.25">
      <c r="F390" s="284"/>
    </row>
    <row r="391" spans="2:14" ht="20.25" hidden="1" customHeight="1" x14ac:dyDescent="0.25">
      <c r="B391" s="661" t="s">
        <v>806</v>
      </c>
      <c r="C391" s="662" t="s">
        <v>816</v>
      </c>
      <c r="D391" s="662"/>
      <c r="E391" s="662"/>
      <c r="F391" s="662"/>
      <c r="G391" s="662"/>
      <c r="H391" s="662"/>
      <c r="I391" s="662"/>
      <c r="J391" s="662"/>
    </row>
    <row r="392" spans="2:14" ht="20.25" hidden="1" customHeight="1" x14ac:dyDescent="0.25">
      <c r="B392" s="661"/>
      <c r="C392" s="662"/>
      <c r="D392" s="662"/>
      <c r="E392" s="662"/>
      <c r="F392" s="662"/>
      <c r="G392" s="662"/>
      <c r="H392" s="662"/>
      <c r="I392" s="662"/>
      <c r="J392" s="662"/>
    </row>
    <row r="393" spans="2:14" ht="18" hidden="1" x14ac:dyDescent="0.25">
      <c r="C393" s="413" t="s">
        <v>807</v>
      </c>
      <c r="D393" s="663" t="s">
        <v>819</v>
      </c>
      <c r="E393" s="664"/>
      <c r="F393" s="287" t="s">
        <v>817</v>
      </c>
      <c r="G393" s="663" t="s">
        <v>852</v>
      </c>
      <c r="H393" s="664"/>
      <c r="I393" s="663" t="s">
        <v>820</v>
      </c>
      <c r="J393" s="664"/>
    </row>
    <row r="394" spans="2:14" ht="56.25" hidden="1" customHeight="1" thickBot="1" x14ac:dyDescent="0.3">
      <c r="F394" s="284"/>
    </row>
    <row r="395" spans="2:14" hidden="1" x14ac:dyDescent="0.25">
      <c r="B395" s="666" t="s">
        <v>808</v>
      </c>
      <c r="C395" s="666"/>
      <c r="D395" s="666"/>
      <c r="E395" s="666"/>
      <c r="F395" s="284"/>
      <c r="G395" s="666" t="s">
        <v>52</v>
      </c>
      <c r="H395" s="666"/>
      <c r="I395" s="666"/>
    </row>
    <row r="396" spans="2:14" ht="15.75" hidden="1" customHeight="1" thickBot="1" x14ac:dyDescent="0.3">
      <c r="B396" s="655" t="str">
        <f>+'ACTA 2'!B40</f>
        <v xml:space="preserve">Suministro e instalación unión rápida  D=8" </v>
      </c>
      <c r="C396" s="655"/>
      <c r="D396" s="655"/>
      <c r="E396" s="655"/>
      <c r="F396" s="655"/>
      <c r="G396" s="655" t="str">
        <f>+'ACTA 2'!C40</f>
        <v>UND</v>
      </c>
      <c r="H396" s="655"/>
      <c r="I396" s="655"/>
      <c r="K396" s="286"/>
      <c r="L396" s="286"/>
      <c r="M396" s="286"/>
      <c r="N396" s="286"/>
    </row>
    <row r="397" spans="2:14" ht="35.1" hidden="1" customHeight="1" x14ac:dyDescent="0.25">
      <c r="B397" s="289"/>
      <c r="C397" s="290"/>
      <c r="D397" s="290"/>
      <c r="E397" s="290"/>
      <c r="F397" s="291"/>
      <c r="G397" s="290"/>
      <c r="H397" s="290"/>
      <c r="I397" s="292"/>
      <c r="J397" s="289"/>
      <c r="K397" s="286"/>
      <c r="L397" s="286"/>
      <c r="M397" s="286"/>
      <c r="N397" s="286"/>
    </row>
    <row r="398" spans="2:14" hidden="1" x14ac:dyDescent="0.25">
      <c r="B398" s="656"/>
      <c r="C398" s="656"/>
      <c r="D398" s="294"/>
      <c r="E398" s="294"/>
      <c r="F398" s="295"/>
      <c r="G398" s="294"/>
      <c r="I398" s="402"/>
      <c r="J398" s="403"/>
    </row>
    <row r="399" spans="2:14" hidden="1" x14ac:dyDescent="0.25">
      <c r="B399" s="301"/>
      <c r="C399" s="404" t="s">
        <v>809</v>
      </c>
      <c r="D399" s="405" t="s">
        <v>810</v>
      </c>
      <c r="E399" s="404" t="s">
        <v>811</v>
      </c>
      <c r="F399" s="406" t="s">
        <v>812</v>
      </c>
      <c r="G399" s="404" t="s">
        <v>813</v>
      </c>
      <c r="H399" s="404" t="s">
        <v>693</v>
      </c>
      <c r="I399" s="657" t="s">
        <v>814</v>
      </c>
      <c r="J399" s="657"/>
    </row>
    <row r="400" spans="2:14" hidden="1" x14ac:dyDescent="0.25">
      <c r="B400" s="400"/>
      <c r="C400" s="407"/>
      <c r="D400" s="407"/>
      <c r="E400" s="407"/>
      <c r="F400" s="408"/>
      <c r="G400" s="294"/>
      <c r="H400" s="407"/>
      <c r="I400" s="658"/>
      <c r="J400" s="658"/>
    </row>
    <row r="401" spans="2:10" hidden="1" x14ac:dyDescent="0.25">
      <c r="B401" s="400" t="s">
        <v>827</v>
      </c>
      <c r="C401" s="407"/>
      <c r="D401" s="407"/>
      <c r="E401" s="407"/>
      <c r="F401" s="408"/>
      <c r="G401" s="407">
        <v>4</v>
      </c>
      <c r="H401" s="407">
        <f>+G401</f>
        <v>4</v>
      </c>
      <c r="I401" s="658"/>
      <c r="J401" s="658"/>
    </row>
    <row r="402" spans="2:10" ht="9.9499999999999993" hidden="1" customHeight="1" thickBot="1" x14ac:dyDescent="0.3">
      <c r="B402" s="400"/>
      <c r="C402" s="407"/>
      <c r="D402" s="407"/>
      <c r="E402" s="407"/>
      <c r="F402" s="408"/>
      <c r="G402" s="407"/>
      <c r="H402" s="407"/>
      <c r="I402" s="658"/>
      <c r="J402" s="658"/>
    </row>
    <row r="403" spans="2:10" ht="9.9499999999999993" hidden="1" customHeight="1" thickBot="1" x14ac:dyDescent="0.3">
      <c r="B403" s="400"/>
      <c r="C403" s="407"/>
      <c r="D403" s="407"/>
      <c r="E403" s="407"/>
      <c r="F403" s="408"/>
      <c r="G403" s="407"/>
      <c r="H403" s="407"/>
      <c r="I403" s="401"/>
      <c r="J403" s="401"/>
    </row>
    <row r="404" spans="2:10" ht="38.25" hidden="1" customHeight="1" thickBot="1" x14ac:dyDescent="0.3">
      <c r="B404" s="300"/>
      <c r="C404" s="294"/>
      <c r="D404" s="294"/>
      <c r="E404" s="294"/>
      <c r="F404" s="295"/>
      <c r="G404" s="294" t="s">
        <v>693</v>
      </c>
      <c r="H404" s="407">
        <f>SUM(H400:H403)</f>
        <v>4</v>
      </c>
      <c r="I404" s="654"/>
      <c r="J404" s="654"/>
    </row>
    <row r="405" spans="2:10" ht="20.25" hidden="1" customHeight="1" thickBot="1" x14ac:dyDescent="0.3">
      <c r="B405" s="300"/>
      <c r="C405" s="294"/>
      <c r="D405" s="294"/>
      <c r="E405" s="294"/>
      <c r="F405" s="295"/>
      <c r="G405" s="294"/>
      <c r="H405" s="294"/>
      <c r="I405" s="301"/>
      <c r="J405" s="289"/>
    </row>
    <row r="406" spans="2:10" ht="20.25" hidden="1" customHeight="1" thickBot="1" x14ac:dyDescent="0.3">
      <c r="B406" s="665"/>
      <c r="C406" s="665"/>
      <c r="D406" s="665"/>
      <c r="E406" s="665"/>
      <c r="F406" s="665"/>
      <c r="G406" s="665"/>
      <c r="H406" s="665"/>
      <c r="I406" s="414"/>
      <c r="J406" s="414"/>
    </row>
    <row r="407" spans="2:10" ht="20.25" hidden="1" customHeight="1" thickBot="1" x14ac:dyDescent="0.3">
      <c r="B407" s="415" t="s">
        <v>815</v>
      </c>
      <c r="C407" s="416">
        <f>+H404</f>
        <v>4</v>
      </c>
      <c r="D407" s="416"/>
      <c r="E407" s="416"/>
      <c r="F407" s="416"/>
      <c r="G407" s="416"/>
      <c r="H407" s="416"/>
      <c r="I407" s="301"/>
    </row>
    <row r="408" spans="2:10" ht="20.25" hidden="1" customHeight="1" x14ac:dyDescent="0.25">
      <c r="B408" s="300"/>
      <c r="C408" s="294"/>
      <c r="D408" s="294"/>
      <c r="E408" s="294"/>
      <c r="F408" s="295"/>
      <c r="G408" s="294"/>
      <c r="H408" s="294"/>
      <c r="I408" s="301"/>
    </row>
    <row r="409" spans="2:10" ht="20.25" hidden="1" customHeight="1" thickBot="1" x14ac:dyDescent="0.3">
      <c r="B409" s="305"/>
      <c r="C409" s="305"/>
      <c r="D409" s="305"/>
      <c r="E409" s="305"/>
      <c r="F409" s="305"/>
      <c r="G409" s="305"/>
      <c r="H409" s="306"/>
      <c r="I409" s="301"/>
    </row>
    <row r="410" spans="2:10" ht="20.25" hidden="1" customHeight="1" x14ac:dyDescent="0.25">
      <c r="F410" s="284"/>
    </row>
    <row r="411" spans="2:10" ht="20.25" hidden="1" customHeight="1" thickBot="1" x14ac:dyDescent="0.3">
      <c r="F411" s="284"/>
    </row>
    <row r="412" spans="2:10" ht="15.75" hidden="1" customHeight="1" thickBot="1" x14ac:dyDescent="0.3">
      <c r="B412" s="659" t="s">
        <v>805</v>
      </c>
      <c r="C412" s="659"/>
      <c r="D412" s="659"/>
      <c r="E412" s="659"/>
      <c r="F412" s="659"/>
      <c r="G412" s="660"/>
      <c r="H412" s="660"/>
      <c r="I412" s="660"/>
      <c r="J412" s="660"/>
    </row>
    <row r="413" spans="2:10" ht="20.25" hidden="1" customHeight="1" x14ac:dyDescent="0.25">
      <c r="F413" s="284"/>
    </row>
    <row r="414" spans="2:10" ht="20.25" hidden="1" customHeight="1" x14ac:dyDescent="0.25">
      <c r="B414" s="661" t="s">
        <v>806</v>
      </c>
      <c r="C414" s="662" t="s">
        <v>816</v>
      </c>
      <c r="D414" s="662"/>
      <c r="E414" s="662"/>
      <c r="F414" s="662"/>
      <c r="G414" s="662"/>
      <c r="H414" s="662"/>
      <c r="I414" s="662"/>
      <c r="J414" s="662"/>
    </row>
    <row r="415" spans="2:10" hidden="1" x14ac:dyDescent="0.25">
      <c r="B415" s="661"/>
      <c r="C415" s="662"/>
      <c r="D415" s="662"/>
      <c r="E415" s="662"/>
      <c r="F415" s="662"/>
      <c r="G415" s="662"/>
      <c r="H415" s="662"/>
      <c r="I415" s="662"/>
      <c r="J415" s="662"/>
    </row>
    <row r="416" spans="2:10" ht="18" hidden="1" x14ac:dyDescent="0.25">
      <c r="C416" s="413" t="s">
        <v>807</v>
      </c>
      <c r="D416" s="663" t="s">
        <v>819</v>
      </c>
      <c r="E416" s="664"/>
      <c r="F416" s="287" t="s">
        <v>817</v>
      </c>
      <c r="G416" s="663" t="s">
        <v>852</v>
      </c>
      <c r="H416" s="664"/>
      <c r="I416" s="663" t="s">
        <v>820</v>
      </c>
      <c r="J416" s="664"/>
    </row>
    <row r="417" spans="2:14" ht="56.25" hidden="1" customHeight="1" thickBot="1" x14ac:dyDescent="0.3">
      <c r="F417" s="284"/>
    </row>
    <row r="418" spans="2:14" hidden="1" x14ac:dyDescent="0.25">
      <c r="B418" s="666" t="s">
        <v>808</v>
      </c>
      <c r="C418" s="666"/>
      <c r="D418" s="666"/>
      <c r="E418" s="666"/>
      <c r="F418" s="284"/>
      <c r="G418" s="666" t="s">
        <v>52</v>
      </c>
      <c r="H418" s="666"/>
      <c r="I418" s="666"/>
    </row>
    <row r="419" spans="2:14" ht="15.75" hidden="1" customHeight="1" x14ac:dyDescent="0.25">
      <c r="B419" s="655" t="str">
        <f>+'ACTA 2'!B41</f>
        <v xml:space="preserve">Suministro e instalación unión rápida  D=10" </v>
      </c>
      <c r="C419" s="655"/>
      <c r="D419" s="655"/>
      <c r="E419" s="655"/>
      <c r="F419" s="655"/>
      <c r="G419" s="655" t="str">
        <f>+'ACTA 2'!C41</f>
        <v>UND</v>
      </c>
      <c r="H419" s="655"/>
      <c r="I419" s="655"/>
      <c r="K419" s="286"/>
      <c r="L419" s="286"/>
      <c r="M419" s="286"/>
      <c r="N419" s="286"/>
    </row>
    <row r="420" spans="2:14" ht="35.1" hidden="1" customHeight="1" x14ac:dyDescent="0.25">
      <c r="B420" s="289"/>
      <c r="C420" s="290"/>
      <c r="D420" s="290"/>
      <c r="E420" s="290"/>
      <c r="F420" s="291"/>
      <c r="G420" s="290"/>
      <c r="H420" s="290"/>
      <c r="I420" s="292"/>
      <c r="J420" s="289"/>
      <c r="K420" s="286"/>
      <c r="L420" s="286"/>
      <c r="M420" s="286"/>
      <c r="N420" s="286"/>
    </row>
    <row r="421" spans="2:14" hidden="1" x14ac:dyDescent="0.25">
      <c r="B421" s="656"/>
      <c r="C421" s="656"/>
      <c r="D421" s="294"/>
      <c r="E421" s="294"/>
      <c r="F421" s="295"/>
      <c r="G421" s="294"/>
      <c r="I421" s="402"/>
      <c r="J421" s="403"/>
    </row>
    <row r="422" spans="2:14" hidden="1" x14ac:dyDescent="0.25">
      <c r="B422" s="301"/>
      <c r="C422" s="404" t="s">
        <v>809</v>
      </c>
      <c r="D422" s="405" t="s">
        <v>810</v>
      </c>
      <c r="E422" s="404" t="s">
        <v>811</v>
      </c>
      <c r="F422" s="406" t="s">
        <v>812</v>
      </c>
      <c r="G422" s="404" t="s">
        <v>813</v>
      </c>
      <c r="H422" s="404" t="s">
        <v>693</v>
      </c>
      <c r="I422" s="657" t="s">
        <v>814</v>
      </c>
      <c r="J422" s="657"/>
    </row>
    <row r="423" spans="2:14" hidden="1" x14ac:dyDescent="0.25">
      <c r="B423" s="400"/>
      <c r="C423" s="407"/>
      <c r="D423" s="407"/>
      <c r="E423" s="407"/>
      <c r="F423" s="408"/>
      <c r="G423" s="294"/>
      <c r="H423" s="407"/>
      <c r="I423" s="658"/>
      <c r="J423" s="658"/>
    </row>
    <row r="424" spans="2:14" hidden="1" x14ac:dyDescent="0.25">
      <c r="B424" s="400"/>
      <c r="C424" s="407"/>
      <c r="D424" s="407"/>
      <c r="E424" s="407"/>
      <c r="F424" s="408"/>
      <c r="G424" s="407"/>
      <c r="H424" s="407">
        <f>C424</f>
        <v>0</v>
      </c>
      <c r="I424" s="658"/>
      <c r="J424" s="658"/>
    </row>
    <row r="425" spans="2:14" hidden="1" x14ac:dyDescent="0.25">
      <c r="B425" s="400"/>
      <c r="C425" s="407"/>
      <c r="D425" s="407"/>
      <c r="E425" s="407"/>
      <c r="F425" s="408"/>
      <c r="G425" s="407"/>
      <c r="H425" s="407"/>
      <c r="I425" s="658"/>
      <c r="J425" s="658"/>
    </row>
    <row r="426" spans="2:14" hidden="1" x14ac:dyDescent="0.25">
      <c r="B426" s="400"/>
      <c r="C426" s="407"/>
      <c r="D426" s="407"/>
      <c r="E426" s="407"/>
      <c r="F426" s="408"/>
      <c r="G426" s="407"/>
      <c r="H426" s="407"/>
      <c r="I426" s="401"/>
      <c r="J426" s="401"/>
    </row>
    <row r="427" spans="2:14" ht="38.25" hidden="1" customHeight="1" thickBot="1" x14ac:dyDescent="0.3">
      <c r="B427" s="300"/>
      <c r="C427" s="294"/>
      <c r="D427" s="294"/>
      <c r="E427" s="294"/>
      <c r="F427" s="295"/>
      <c r="G427" s="294" t="s">
        <v>693</v>
      </c>
      <c r="H427" s="407">
        <f>SUM(H423:H426)</f>
        <v>0</v>
      </c>
      <c r="I427" s="654"/>
      <c r="J427" s="654"/>
    </row>
    <row r="428" spans="2:14" ht="20.25" hidden="1" customHeight="1" x14ac:dyDescent="0.25">
      <c r="B428" s="300"/>
      <c r="C428" s="294"/>
      <c r="D428" s="294"/>
      <c r="E428" s="294"/>
      <c r="F428" s="295"/>
      <c r="G428" s="294"/>
      <c r="H428" s="294"/>
      <c r="I428" s="301"/>
      <c r="J428" s="289"/>
    </row>
    <row r="429" spans="2:14" ht="20.25" hidden="1" customHeight="1" x14ac:dyDescent="0.25">
      <c r="B429" s="665"/>
      <c r="C429" s="665"/>
      <c r="D429" s="665"/>
      <c r="E429" s="665"/>
      <c r="F429" s="665"/>
      <c r="G429" s="665"/>
      <c r="H429" s="665"/>
      <c r="I429" s="414"/>
      <c r="J429" s="414"/>
    </row>
    <row r="430" spans="2:14" ht="20.25" hidden="1" customHeight="1" thickBot="1" x14ac:dyDescent="0.3">
      <c r="B430" s="415" t="s">
        <v>815</v>
      </c>
      <c r="C430" s="416">
        <f>+H427</f>
        <v>0</v>
      </c>
      <c r="D430" s="416"/>
      <c r="E430" s="416"/>
      <c r="F430" s="416"/>
      <c r="G430" s="416"/>
      <c r="H430" s="416"/>
      <c r="I430" s="301"/>
    </row>
    <row r="431" spans="2:14" ht="20.25" hidden="1" customHeight="1" thickBot="1" x14ac:dyDescent="0.3">
      <c r="B431" s="300"/>
      <c r="C431" s="294"/>
      <c r="D431" s="294"/>
      <c r="E431" s="294"/>
      <c r="F431" s="295"/>
      <c r="G431" s="294"/>
      <c r="H431" s="294"/>
      <c r="I431" s="301"/>
    </row>
    <row r="432" spans="2:14" ht="20.25" hidden="1" customHeight="1" thickBot="1" x14ac:dyDescent="0.3">
      <c r="B432" s="305"/>
      <c r="C432" s="305"/>
      <c r="D432" s="305"/>
      <c r="E432" s="305"/>
      <c r="F432" s="305"/>
      <c r="G432" s="305"/>
      <c r="H432" s="306"/>
      <c r="I432" s="301"/>
    </row>
    <row r="433" spans="2:14" ht="20.25" hidden="1" customHeight="1" thickBot="1" x14ac:dyDescent="0.3">
      <c r="F433" s="284"/>
    </row>
    <row r="434" spans="2:14" ht="20.25" hidden="1" customHeight="1" thickBot="1" x14ac:dyDescent="0.3">
      <c r="F434" s="284"/>
    </row>
    <row r="435" spans="2:14" ht="15.75" hidden="1" customHeight="1" thickBot="1" x14ac:dyDescent="0.3">
      <c r="B435" s="659" t="s">
        <v>805</v>
      </c>
      <c r="C435" s="659"/>
      <c r="D435" s="659"/>
      <c r="E435" s="659"/>
      <c r="F435" s="659"/>
      <c r="G435" s="660"/>
      <c r="H435" s="660"/>
      <c r="I435" s="660"/>
      <c r="J435" s="660"/>
    </row>
    <row r="436" spans="2:14" ht="20.25" hidden="1" customHeight="1" x14ac:dyDescent="0.25">
      <c r="F436" s="284"/>
    </row>
    <row r="437" spans="2:14" ht="20.25" hidden="1" customHeight="1" thickBot="1" x14ac:dyDescent="0.3">
      <c r="B437" s="661" t="s">
        <v>806</v>
      </c>
      <c r="C437" s="662" t="s">
        <v>816</v>
      </c>
      <c r="D437" s="662"/>
      <c r="E437" s="662"/>
      <c r="F437" s="662"/>
      <c r="G437" s="662"/>
      <c r="H437" s="662"/>
      <c r="I437" s="662"/>
      <c r="J437" s="662"/>
    </row>
    <row r="438" spans="2:14" hidden="1" x14ac:dyDescent="0.25">
      <c r="B438" s="661"/>
      <c r="C438" s="662"/>
      <c r="D438" s="662"/>
      <c r="E438" s="662"/>
      <c r="F438" s="662"/>
      <c r="G438" s="662"/>
      <c r="H438" s="662"/>
      <c r="I438" s="662"/>
      <c r="J438" s="662"/>
    </row>
    <row r="439" spans="2:14" ht="18" hidden="1" x14ac:dyDescent="0.25">
      <c r="C439" s="413" t="s">
        <v>807</v>
      </c>
      <c r="D439" s="663" t="s">
        <v>818</v>
      </c>
      <c r="E439" s="664"/>
      <c r="F439" s="287" t="s">
        <v>817</v>
      </c>
      <c r="G439" s="663" t="s">
        <v>819</v>
      </c>
      <c r="H439" s="664"/>
      <c r="I439" s="663" t="s">
        <v>820</v>
      </c>
      <c r="J439" s="664"/>
    </row>
    <row r="440" spans="2:14" ht="56.25" hidden="1" customHeight="1" thickBot="1" x14ac:dyDescent="0.3">
      <c r="F440" s="284"/>
    </row>
    <row r="441" spans="2:14" hidden="1" x14ac:dyDescent="0.25">
      <c r="B441" s="666" t="s">
        <v>808</v>
      </c>
      <c r="C441" s="666"/>
      <c r="D441" s="666"/>
      <c r="E441" s="666"/>
      <c r="F441" s="284"/>
      <c r="G441" s="666" t="s">
        <v>52</v>
      </c>
      <c r="H441" s="666"/>
      <c r="I441" s="666"/>
    </row>
    <row r="442" spans="2:14" ht="15.75" hidden="1" customHeight="1" thickBot="1" x14ac:dyDescent="0.3">
      <c r="B442" s="655" t="str">
        <f>+'ACTA 2'!B41</f>
        <v xml:space="preserve">Suministro e instalación unión rápida  D=10" </v>
      </c>
      <c r="C442" s="655"/>
      <c r="D442" s="655"/>
      <c r="E442" s="655"/>
      <c r="F442" s="655"/>
      <c r="G442" s="655" t="str">
        <f>+'ACTA 2'!C41</f>
        <v>UND</v>
      </c>
      <c r="H442" s="655"/>
      <c r="I442" s="655"/>
      <c r="K442" s="286"/>
      <c r="L442" s="286"/>
      <c r="M442" s="286"/>
      <c r="N442" s="286"/>
    </row>
    <row r="443" spans="2:14" ht="35.1" hidden="1" customHeight="1" x14ac:dyDescent="0.25">
      <c r="B443" s="289"/>
      <c r="C443" s="290"/>
      <c r="D443" s="290"/>
      <c r="E443" s="290"/>
      <c r="F443" s="291"/>
      <c r="G443" s="290"/>
      <c r="H443" s="290"/>
      <c r="I443" s="292"/>
      <c r="J443" s="289"/>
      <c r="K443" s="286"/>
      <c r="L443" s="286"/>
      <c r="M443" s="286"/>
      <c r="N443" s="286"/>
    </row>
    <row r="444" spans="2:14" hidden="1" x14ac:dyDescent="0.25">
      <c r="B444" s="656"/>
      <c r="C444" s="656"/>
      <c r="D444" s="294"/>
      <c r="E444" s="294"/>
      <c r="F444" s="295"/>
      <c r="G444" s="294"/>
      <c r="I444" s="402"/>
      <c r="J444" s="403"/>
    </row>
    <row r="445" spans="2:14" hidden="1" x14ac:dyDescent="0.25">
      <c r="B445" s="301"/>
      <c r="C445" s="404" t="s">
        <v>809</v>
      </c>
      <c r="D445" s="405" t="s">
        <v>810</v>
      </c>
      <c r="E445" s="404" t="s">
        <v>811</v>
      </c>
      <c r="F445" s="406" t="s">
        <v>812</v>
      </c>
      <c r="G445" s="404" t="s">
        <v>813</v>
      </c>
      <c r="H445" s="404" t="s">
        <v>693</v>
      </c>
      <c r="I445" s="657" t="s">
        <v>814</v>
      </c>
      <c r="J445" s="657"/>
    </row>
    <row r="446" spans="2:14" hidden="1" x14ac:dyDescent="0.25">
      <c r="B446" s="400"/>
      <c r="C446" s="407"/>
      <c r="D446" s="407"/>
      <c r="E446" s="407"/>
      <c r="F446" s="408"/>
      <c r="G446" s="294"/>
      <c r="H446" s="407"/>
      <c r="I446" s="658"/>
      <c r="J446" s="658"/>
    </row>
    <row r="447" spans="2:14" hidden="1" x14ac:dyDescent="0.25">
      <c r="B447" s="400" t="s">
        <v>828</v>
      </c>
      <c r="C447" s="407"/>
      <c r="D447" s="407"/>
      <c r="E447" s="407"/>
      <c r="F447" s="408"/>
      <c r="G447" s="407">
        <v>2</v>
      </c>
      <c r="H447" s="407">
        <f>+G447</f>
        <v>2</v>
      </c>
      <c r="I447" s="658"/>
      <c r="J447" s="658"/>
    </row>
    <row r="448" spans="2:14" ht="9.9499999999999993" hidden="1" customHeight="1" thickBot="1" x14ac:dyDescent="0.3">
      <c r="B448" s="400"/>
      <c r="C448" s="407"/>
      <c r="D448" s="407"/>
      <c r="E448" s="407"/>
      <c r="F448" s="408"/>
      <c r="G448" s="407"/>
      <c r="H448" s="407"/>
      <c r="I448" s="658"/>
      <c r="J448" s="658"/>
    </row>
    <row r="449" spans="2:14" ht="9.9499999999999993" hidden="1" customHeight="1" thickBot="1" x14ac:dyDescent="0.3">
      <c r="B449" s="400"/>
      <c r="C449" s="407"/>
      <c r="D449" s="407"/>
      <c r="E449" s="407"/>
      <c r="F449" s="408"/>
      <c r="G449" s="407"/>
      <c r="H449" s="407"/>
      <c r="I449" s="401"/>
      <c r="J449" s="401"/>
    </row>
    <row r="450" spans="2:14" ht="38.25" hidden="1" customHeight="1" thickBot="1" x14ac:dyDescent="0.3">
      <c r="B450" s="300"/>
      <c r="C450" s="294"/>
      <c r="D450" s="294"/>
      <c r="E450" s="294"/>
      <c r="F450" s="295"/>
      <c r="G450" s="294" t="s">
        <v>693</v>
      </c>
      <c r="H450" s="407">
        <f>SUM(H446:H449)</f>
        <v>2</v>
      </c>
      <c r="I450" s="654"/>
      <c r="J450" s="654"/>
    </row>
    <row r="451" spans="2:14" ht="20.25" hidden="1" customHeight="1" thickBot="1" x14ac:dyDescent="0.3">
      <c r="B451" s="300"/>
      <c r="C451" s="294"/>
      <c r="D451" s="294"/>
      <c r="E451" s="294"/>
      <c r="F451" s="295"/>
      <c r="G451" s="294"/>
      <c r="H451" s="294"/>
      <c r="I451" s="301"/>
      <c r="J451" s="289"/>
    </row>
    <row r="452" spans="2:14" ht="20.25" hidden="1" customHeight="1" thickBot="1" x14ac:dyDescent="0.3">
      <c r="B452" s="665"/>
      <c r="C452" s="665"/>
      <c r="D452" s="665"/>
      <c r="E452" s="665"/>
      <c r="F452" s="665"/>
      <c r="G452" s="665"/>
      <c r="H452" s="665"/>
      <c r="I452" s="414"/>
      <c r="J452" s="414"/>
    </row>
    <row r="453" spans="2:14" ht="20.25" hidden="1" customHeight="1" thickBot="1" x14ac:dyDescent="0.3">
      <c r="B453" s="415" t="s">
        <v>815</v>
      </c>
      <c r="C453" s="416">
        <f>+H450</f>
        <v>2</v>
      </c>
      <c r="D453" s="416"/>
      <c r="E453" s="416"/>
      <c r="F453" s="416"/>
      <c r="G453" s="416"/>
      <c r="H453" s="416"/>
      <c r="I453" s="301"/>
    </row>
    <row r="454" spans="2:14" ht="20.25" hidden="1" customHeight="1" x14ac:dyDescent="0.25">
      <c r="B454" s="300"/>
      <c r="C454" s="294"/>
      <c r="D454" s="294"/>
      <c r="E454" s="294"/>
      <c r="F454" s="295"/>
      <c r="G454" s="294"/>
      <c r="H454" s="294"/>
      <c r="I454" s="301"/>
    </row>
    <row r="455" spans="2:14" ht="20.25" hidden="1" customHeight="1" thickBot="1" x14ac:dyDescent="0.3">
      <c r="B455" s="305"/>
      <c r="C455" s="305"/>
      <c r="D455" s="305"/>
      <c r="E455" s="305"/>
      <c r="F455" s="305"/>
      <c r="G455" s="305"/>
      <c r="H455" s="306"/>
      <c r="I455" s="301"/>
    </row>
    <row r="456" spans="2:14" ht="20.25" hidden="1" customHeight="1" x14ac:dyDescent="0.25">
      <c r="F456" s="284"/>
    </row>
    <row r="457" spans="2:14" ht="20.25" customHeight="1" x14ac:dyDescent="0.25">
      <c r="F457" s="284"/>
    </row>
    <row r="458" spans="2:14" ht="42" customHeight="1" x14ac:dyDescent="0.25">
      <c r="B458" s="659" t="s">
        <v>805</v>
      </c>
      <c r="C458" s="659"/>
      <c r="D458" s="659"/>
      <c r="E458" s="659"/>
      <c r="F458" s="659"/>
      <c r="G458" s="660"/>
      <c r="H458" s="660"/>
      <c r="I458" s="660"/>
      <c r="J458" s="660"/>
    </row>
    <row r="459" spans="2:14" ht="15.75" customHeight="1" x14ac:dyDescent="0.25">
      <c r="B459" s="655" t="str">
        <f>+'ACTA 2'!B52</f>
        <v>Limpieza general</v>
      </c>
      <c r="C459" s="655"/>
      <c r="D459" s="655"/>
      <c r="E459" s="655"/>
      <c r="F459" s="655"/>
      <c r="G459" s="655" t="str">
        <f>+'ACTA 2'!C52</f>
        <v>UND</v>
      </c>
      <c r="H459" s="655"/>
      <c r="I459" s="655"/>
      <c r="K459" s="286"/>
      <c r="L459" s="286"/>
      <c r="M459" s="286"/>
      <c r="N459" s="286"/>
    </row>
    <row r="460" spans="2:14" ht="35.1" customHeight="1" x14ac:dyDescent="0.25">
      <c r="B460" s="289"/>
      <c r="C460" s="290"/>
      <c r="D460" s="290"/>
      <c r="E460" s="290"/>
      <c r="F460" s="291"/>
      <c r="G460" s="290"/>
      <c r="H460" s="290"/>
      <c r="I460" s="292"/>
      <c r="J460" s="289"/>
      <c r="K460" s="286"/>
      <c r="L460" s="286"/>
      <c r="M460" s="286"/>
      <c r="N460" s="286"/>
    </row>
    <row r="461" spans="2:14" x14ac:dyDescent="0.25">
      <c r="B461" s="656"/>
      <c r="C461" s="656"/>
      <c r="D461" s="294"/>
      <c r="E461" s="294"/>
      <c r="F461" s="295"/>
      <c r="G461" s="294"/>
      <c r="I461" s="402"/>
      <c r="J461" s="403"/>
    </row>
    <row r="462" spans="2:14" x14ac:dyDescent="0.25">
      <c r="B462" s="301"/>
      <c r="C462" s="404" t="s">
        <v>809</v>
      </c>
      <c r="D462" s="405" t="s">
        <v>810</v>
      </c>
      <c r="E462" s="404" t="s">
        <v>811</v>
      </c>
      <c r="F462" s="406" t="s">
        <v>812</v>
      </c>
      <c r="G462" s="404" t="s">
        <v>813</v>
      </c>
      <c r="H462" s="404" t="s">
        <v>693</v>
      </c>
      <c r="I462" s="657" t="s">
        <v>814</v>
      </c>
      <c r="J462" s="657"/>
    </row>
    <row r="463" spans="2:14" x14ac:dyDescent="0.25">
      <c r="B463" s="400"/>
      <c r="C463" s="407"/>
      <c r="D463" s="407"/>
      <c r="E463" s="407"/>
      <c r="F463" s="408"/>
      <c r="G463" s="294"/>
      <c r="H463" s="407"/>
      <c r="I463" s="658"/>
      <c r="J463" s="658"/>
    </row>
    <row r="464" spans="2:14" x14ac:dyDescent="0.25">
      <c r="B464" s="400" t="s">
        <v>829</v>
      </c>
      <c r="C464" s="407"/>
      <c r="D464" s="407"/>
      <c r="E464" s="407"/>
      <c r="F464" s="408"/>
      <c r="G464" s="407">
        <v>3</v>
      </c>
      <c r="H464" s="407">
        <f>+G464</f>
        <v>3</v>
      </c>
      <c r="I464" s="658"/>
      <c r="J464" s="658"/>
    </row>
    <row r="465" spans="2:14" x14ac:dyDescent="0.25">
      <c r="B465" s="400"/>
      <c r="C465" s="407"/>
      <c r="D465" s="407"/>
      <c r="E465" s="407"/>
      <c r="F465" s="408"/>
      <c r="G465" s="407"/>
      <c r="H465" s="407"/>
      <c r="I465" s="658"/>
      <c r="J465" s="658"/>
    </row>
    <row r="466" spans="2:14" x14ac:dyDescent="0.25">
      <c r="B466" s="400"/>
      <c r="C466" s="407"/>
      <c r="D466" s="407"/>
      <c r="E466" s="407"/>
      <c r="F466" s="408"/>
      <c r="G466" s="407"/>
      <c r="H466" s="407"/>
      <c r="I466" s="401"/>
      <c r="J466" s="401"/>
    </row>
    <row r="467" spans="2:14" ht="38.25" customHeight="1" x14ac:dyDescent="0.25">
      <c r="B467" s="300"/>
      <c r="C467" s="294"/>
      <c r="D467" s="294"/>
      <c r="E467" s="294"/>
      <c r="F467" s="295"/>
      <c r="G467" s="294" t="s">
        <v>693</v>
      </c>
      <c r="H467" s="407">
        <f>SUM(H463:H466)</f>
        <v>3</v>
      </c>
      <c r="I467" s="654"/>
      <c r="J467" s="654"/>
    </row>
    <row r="468" spans="2:14" ht="20.25" customHeight="1" x14ac:dyDescent="0.25">
      <c r="B468" s="300"/>
      <c r="C468" s="294"/>
      <c r="D468" s="294"/>
      <c r="E468" s="294"/>
      <c r="F468" s="295"/>
      <c r="G468" s="294"/>
      <c r="H468" s="294"/>
      <c r="I468" s="301"/>
      <c r="J468" s="289"/>
    </row>
    <row r="469" spans="2:14" ht="20.25" customHeight="1" x14ac:dyDescent="0.25">
      <c r="B469" s="305"/>
      <c r="C469" s="305"/>
      <c r="D469" s="305"/>
      <c r="E469" s="305"/>
      <c r="F469" s="305"/>
      <c r="G469" s="305"/>
      <c r="H469" s="306"/>
      <c r="I469" s="301"/>
    </row>
    <row r="470" spans="2:14" ht="20.25" customHeight="1" x14ac:dyDescent="0.25">
      <c r="F470" s="284"/>
    </row>
    <row r="471" spans="2:14" ht="20.25" customHeight="1" x14ac:dyDescent="0.25">
      <c r="F471" s="284"/>
    </row>
    <row r="472" spans="2:14" ht="39.75" customHeight="1" x14ac:dyDescent="0.25">
      <c r="B472" s="659" t="s">
        <v>805</v>
      </c>
      <c r="C472" s="659"/>
      <c r="D472" s="659"/>
      <c r="E472" s="659"/>
      <c r="F472" s="659"/>
      <c r="G472" s="660"/>
      <c r="H472" s="660"/>
      <c r="I472" s="660"/>
      <c r="J472" s="660"/>
    </row>
    <row r="473" spans="2:14" ht="15.75" customHeight="1" x14ac:dyDescent="0.25">
      <c r="B473" s="655" t="str">
        <f>+'Actas de may y men"'!B55</f>
        <v>4</v>
      </c>
      <c r="C473" s="655"/>
      <c r="D473" s="655"/>
      <c r="E473" s="655"/>
      <c r="F473" s="655"/>
      <c r="G473" s="655" t="str">
        <f>+'Actas de may y men"'!C55</f>
        <v>CONSTRUCCIÓN CERRAMIENTO PERIMETRAL</v>
      </c>
      <c r="H473" s="655"/>
      <c r="I473" s="655"/>
      <c r="K473" s="286"/>
      <c r="L473" s="286"/>
      <c r="M473" s="286"/>
      <c r="N473" s="286"/>
    </row>
    <row r="474" spans="2:14" ht="35.1" customHeight="1" x14ac:dyDescent="0.25">
      <c r="B474" s="289"/>
      <c r="C474" s="290"/>
      <c r="D474" s="290"/>
      <c r="E474" s="290"/>
      <c r="F474" s="291"/>
      <c r="G474" s="290"/>
      <c r="H474" s="290"/>
      <c r="I474" s="292"/>
      <c r="J474" s="289"/>
      <c r="K474" s="286"/>
      <c r="L474" s="286"/>
      <c r="M474" s="286"/>
      <c r="N474" s="286"/>
    </row>
    <row r="475" spans="2:14" x14ac:dyDescent="0.25">
      <c r="B475" s="656"/>
      <c r="C475" s="656"/>
      <c r="D475" s="294"/>
      <c r="E475" s="294"/>
      <c r="F475" s="295"/>
      <c r="G475" s="294"/>
      <c r="I475" s="402"/>
      <c r="J475" s="403"/>
    </row>
    <row r="476" spans="2:14" x14ac:dyDescent="0.25">
      <c r="B476" s="301"/>
      <c r="C476" s="404" t="s">
        <v>809</v>
      </c>
      <c r="D476" s="405" t="s">
        <v>810</v>
      </c>
      <c r="E476" s="404" t="s">
        <v>811</v>
      </c>
      <c r="F476" s="406" t="s">
        <v>812</v>
      </c>
      <c r="G476" s="404" t="s">
        <v>813</v>
      </c>
      <c r="H476" s="404" t="s">
        <v>693</v>
      </c>
      <c r="I476" s="657" t="s">
        <v>814</v>
      </c>
      <c r="J476" s="657"/>
    </row>
    <row r="477" spans="2:14" x14ac:dyDescent="0.25">
      <c r="B477" s="400"/>
      <c r="C477" s="407"/>
      <c r="D477" s="407"/>
      <c r="E477" s="407"/>
      <c r="F477" s="408"/>
      <c r="G477" s="294"/>
      <c r="H477" s="407"/>
      <c r="I477" s="658"/>
      <c r="J477" s="658"/>
    </row>
    <row r="478" spans="2:14" x14ac:dyDescent="0.25">
      <c r="B478" s="400" t="s">
        <v>688</v>
      </c>
      <c r="C478" s="407"/>
      <c r="D478" s="407"/>
      <c r="E478" s="407"/>
      <c r="F478" s="408"/>
      <c r="G478" s="407">
        <v>1</v>
      </c>
      <c r="H478" s="407">
        <f>+G478</f>
        <v>1</v>
      </c>
      <c r="I478" s="658"/>
      <c r="J478" s="658"/>
    </row>
    <row r="479" spans="2:14" x14ac:dyDescent="0.25">
      <c r="B479" s="400"/>
      <c r="C479" s="407"/>
      <c r="D479" s="407"/>
      <c r="E479" s="407"/>
      <c r="F479" s="408"/>
      <c r="G479" s="407"/>
      <c r="H479" s="407"/>
      <c r="I479" s="658"/>
      <c r="J479" s="658"/>
    </row>
    <row r="480" spans="2:14" x14ac:dyDescent="0.25">
      <c r="B480" s="400"/>
      <c r="C480" s="407"/>
      <c r="D480" s="407"/>
      <c r="E480" s="407"/>
      <c r="F480" s="408"/>
      <c r="G480" s="407"/>
      <c r="H480" s="407"/>
      <c r="I480" s="401"/>
      <c r="J480" s="401"/>
    </row>
    <row r="481" spans="2:14" ht="38.25" customHeight="1" x14ac:dyDescent="0.25">
      <c r="B481" s="300"/>
      <c r="C481" s="294"/>
      <c r="D481" s="294"/>
      <c r="E481" s="294"/>
      <c r="F481" s="295"/>
      <c r="G481" s="294" t="s">
        <v>693</v>
      </c>
      <c r="H481" s="407">
        <f>SUM(H477:H480)</f>
        <v>1</v>
      </c>
      <c r="I481" s="654"/>
      <c r="J481" s="654"/>
    </row>
    <row r="482" spans="2:14" ht="20.25" customHeight="1" x14ac:dyDescent="0.25">
      <c r="B482" s="300"/>
      <c r="C482" s="294"/>
      <c r="D482" s="294"/>
      <c r="E482" s="294"/>
      <c r="F482" s="295"/>
      <c r="G482" s="294"/>
      <c r="H482" s="294"/>
      <c r="I482" s="301"/>
      <c r="J482" s="289"/>
    </row>
    <row r="483" spans="2:14" ht="20.25" customHeight="1" x14ac:dyDescent="0.25">
      <c r="F483" s="284"/>
    </row>
    <row r="484" spans="2:14" ht="44.25" customHeight="1" x14ac:dyDescent="0.25">
      <c r="B484" s="659" t="s">
        <v>805</v>
      </c>
      <c r="C484" s="659"/>
      <c r="D484" s="659"/>
      <c r="E484" s="659"/>
      <c r="F484" s="659"/>
      <c r="G484" s="660"/>
      <c r="H484" s="660"/>
      <c r="I484" s="660"/>
      <c r="J484" s="660"/>
    </row>
    <row r="485" spans="2:14" ht="15.75" customHeight="1" x14ac:dyDescent="0.25">
      <c r="B485" s="655" t="str">
        <f>+'Actas de may y men"'!B61</f>
        <v>5.1</v>
      </c>
      <c r="C485" s="655"/>
      <c r="D485" s="655"/>
      <c r="E485" s="655"/>
      <c r="F485" s="655"/>
      <c r="G485" s="655" t="str">
        <f>+'Actas de may y men"'!C61</f>
        <v>Pintura (tanques  - Tubería - Estructura Metalica en general)</v>
      </c>
      <c r="H485" s="655"/>
      <c r="I485" s="655"/>
      <c r="K485" s="286"/>
      <c r="L485" s="286"/>
      <c r="M485" s="286"/>
      <c r="N485" s="286"/>
    </row>
    <row r="486" spans="2:14" ht="35.1" customHeight="1" x14ac:dyDescent="0.25">
      <c r="B486" s="289"/>
      <c r="C486" s="290"/>
      <c r="D486" s="290"/>
      <c r="E486" s="290"/>
      <c r="F486" s="291"/>
      <c r="G486" s="290"/>
      <c r="H486" s="290"/>
      <c r="I486" s="292"/>
      <c r="J486" s="289"/>
      <c r="K486" s="286"/>
      <c r="L486" s="286"/>
      <c r="M486" s="286"/>
      <c r="N486" s="286"/>
    </row>
    <row r="487" spans="2:14" x14ac:dyDescent="0.25">
      <c r="B487" s="656"/>
      <c r="C487" s="656"/>
      <c r="D487" s="294"/>
      <c r="E487" s="294"/>
      <c r="F487" s="295"/>
      <c r="G487" s="294"/>
      <c r="I487" s="402"/>
      <c r="J487" s="403"/>
    </row>
    <row r="488" spans="2:14" x14ac:dyDescent="0.25">
      <c r="B488" s="301"/>
      <c r="C488" s="404" t="s">
        <v>809</v>
      </c>
      <c r="D488" s="405" t="s">
        <v>810</v>
      </c>
      <c r="E488" s="404" t="s">
        <v>811</v>
      </c>
      <c r="F488" s="406" t="s">
        <v>812</v>
      </c>
      <c r="G488" s="404" t="s">
        <v>813</v>
      </c>
      <c r="H488" s="404" t="s">
        <v>693</v>
      </c>
      <c r="I488" s="657" t="s">
        <v>814</v>
      </c>
      <c r="J488" s="657"/>
    </row>
    <row r="489" spans="2:14" x14ac:dyDescent="0.25">
      <c r="B489" s="400"/>
      <c r="C489" s="407"/>
      <c r="D489" s="407"/>
      <c r="E489" s="407"/>
      <c r="F489" s="408"/>
      <c r="G489" s="294"/>
      <c r="H489" s="407"/>
      <c r="I489" s="658"/>
      <c r="J489" s="658"/>
    </row>
    <row r="490" spans="2:14" x14ac:dyDescent="0.25">
      <c r="B490" s="400" t="s">
        <v>883</v>
      </c>
      <c r="C490" s="407"/>
      <c r="D490" s="407"/>
      <c r="E490" s="407"/>
      <c r="F490" s="408"/>
      <c r="G490" s="407">
        <v>4</v>
      </c>
      <c r="H490" s="407">
        <f>+G490</f>
        <v>4</v>
      </c>
      <c r="I490" s="658"/>
      <c r="J490" s="658"/>
    </row>
    <row r="491" spans="2:14" x14ac:dyDescent="0.25">
      <c r="B491" s="400"/>
      <c r="C491" s="407"/>
      <c r="D491" s="407"/>
      <c r="E491" s="407"/>
      <c r="F491" s="408"/>
      <c r="G491" s="407"/>
      <c r="H491" s="407"/>
      <c r="I491" s="658"/>
      <c r="J491" s="658"/>
    </row>
    <row r="492" spans="2:14" x14ac:dyDescent="0.25">
      <c r="B492" s="400"/>
      <c r="C492" s="407"/>
      <c r="D492" s="407"/>
      <c r="E492" s="407"/>
      <c r="F492" s="408"/>
      <c r="G492" s="407"/>
      <c r="H492" s="407"/>
      <c r="I492" s="401"/>
      <c r="J492" s="401"/>
    </row>
    <row r="493" spans="2:14" ht="38.25" customHeight="1" x14ac:dyDescent="0.25">
      <c r="B493" s="300"/>
      <c r="C493" s="294"/>
      <c r="D493" s="294"/>
      <c r="E493" s="294"/>
      <c r="F493" s="295"/>
      <c r="G493" s="294" t="s">
        <v>693</v>
      </c>
      <c r="H493" s="407">
        <f>SUM(H489:H492)</f>
        <v>4</v>
      </c>
      <c r="I493" s="654"/>
      <c r="J493" s="654"/>
    </row>
    <row r="494" spans="2:14" ht="20.25" customHeight="1" x14ac:dyDescent="0.25">
      <c r="B494" s="300"/>
      <c r="C494" s="294"/>
      <c r="D494" s="294"/>
      <c r="E494" s="294"/>
      <c r="F494" s="295"/>
      <c r="G494" s="294"/>
      <c r="H494" s="294"/>
      <c r="I494" s="301"/>
      <c r="J494" s="289"/>
    </row>
    <row r="495" spans="2:14" x14ac:dyDescent="0.25">
      <c r="F495" s="284"/>
    </row>
    <row r="496" spans="2:14" x14ac:dyDescent="0.25">
      <c r="F496" s="284"/>
    </row>
    <row r="497" spans="2:14" ht="42" customHeight="1" x14ac:dyDescent="0.25">
      <c r="B497" s="659" t="s">
        <v>805</v>
      </c>
      <c r="C497" s="659"/>
      <c r="D497" s="659"/>
      <c r="E497" s="659"/>
      <c r="F497" s="659"/>
      <c r="G497" s="660"/>
      <c r="H497" s="660"/>
      <c r="I497" s="660"/>
      <c r="J497" s="660"/>
    </row>
    <row r="498" spans="2:14" ht="15.75" customHeight="1" x14ac:dyDescent="0.25">
      <c r="B498" s="655" t="str">
        <f>+'Actas de may y men"'!B63</f>
        <v>5.3</v>
      </c>
      <c r="C498" s="655"/>
      <c r="D498" s="655"/>
      <c r="E498" s="655"/>
      <c r="F498" s="655"/>
      <c r="G498" s="655" t="str">
        <f>+'Actas de may y men"'!C63</f>
        <v>Mantenimiento de bombas.</v>
      </c>
      <c r="H498" s="655"/>
      <c r="I498" s="655"/>
      <c r="K498" s="286"/>
      <c r="L498" s="286"/>
      <c r="M498" s="286"/>
      <c r="N498" s="286"/>
    </row>
    <row r="499" spans="2:14" ht="35.1" customHeight="1" x14ac:dyDescent="0.25">
      <c r="B499" s="289"/>
      <c r="C499" s="290"/>
      <c r="D499" s="290"/>
      <c r="E499" s="290"/>
      <c r="F499" s="291"/>
      <c r="G499" s="290"/>
      <c r="H499" s="290"/>
      <c r="I499" s="292"/>
      <c r="J499" s="289"/>
      <c r="K499" s="286"/>
      <c r="L499" s="286"/>
      <c r="M499" s="286"/>
      <c r="N499" s="286"/>
    </row>
    <row r="500" spans="2:14" x14ac:dyDescent="0.25">
      <c r="B500" s="656"/>
      <c r="C500" s="656"/>
      <c r="D500" s="294"/>
      <c r="E500" s="294"/>
      <c r="F500" s="295"/>
      <c r="G500" s="294"/>
      <c r="I500" s="402"/>
      <c r="J500" s="403"/>
    </row>
    <row r="501" spans="2:14" x14ac:dyDescent="0.25">
      <c r="B501" s="301"/>
      <c r="C501" s="404" t="s">
        <v>809</v>
      </c>
      <c r="D501" s="405" t="s">
        <v>810</v>
      </c>
      <c r="E501" s="404" t="s">
        <v>811</v>
      </c>
      <c r="F501" s="406" t="s">
        <v>812</v>
      </c>
      <c r="G501" s="404" t="s">
        <v>813</v>
      </c>
      <c r="H501" s="404" t="s">
        <v>693</v>
      </c>
      <c r="I501" s="657" t="s">
        <v>814</v>
      </c>
      <c r="J501" s="657"/>
    </row>
    <row r="502" spans="2:14" x14ac:dyDescent="0.25">
      <c r="B502" s="400"/>
      <c r="C502" s="407"/>
      <c r="D502" s="407"/>
      <c r="E502" s="407"/>
      <c r="F502" s="408"/>
      <c r="G502" s="294"/>
      <c r="H502" s="407"/>
      <c r="I502" s="658"/>
      <c r="J502" s="658"/>
    </row>
    <row r="503" spans="2:14" x14ac:dyDescent="0.25">
      <c r="B503" s="400" t="s">
        <v>884</v>
      </c>
      <c r="C503" s="407"/>
      <c r="D503" s="407"/>
      <c r="E503" s="407"/>
      <c r="F503" s="408"/>
      <c r="G503" s="407">
        <v>6</v>
      </c>
      <c r="H503" s="407">
        <f>+G503</f>
        <v>6</v>
      </c>
      <c r="I503" s="658"/>
      <c r="J503" s="658"/>
    </row>
    <row r="504" spans="2:14" x14ac:dyDescent="0.25">
      <c r="B504" s="400"/>
      <c r="C504" s="407"/>
      <c r="D504" s="407"/>
      <c r="E504" s="407"/>
      <c r="F504" s="408"/>
      <c r="G504" s="407"/>
      <c r="H504" s="407"/>
      <c r="I504" s="658"/>
      <c r="J504" s="658"/>
    </row>
    <row r="505" spans="2:14" x14ac:dyDescent="0.25">
      <c r="B505" s="400"/>
      <c r="C505" s="407"/>
      <c r="D505" s="407"/>
      <c r="E505" s="407"/>
      <c r="F505" s="408"/>
      <c r="G505" s="407"/>
      <c r="H505" s="407"/>
      <c r="I505" s="401"/>
      <c r="J505" s="401"/>
    </row>
    <row r="506" spans="2:14" ht="38.25" customHeight="1" x14ac:dyDescent="0.25">
      <c r="B506" s="300"/>
      <c r="C506" s="294"/>
      <c r="D506" s="294"/>
      <c r="E506" s="294"/>
      <c r="F506" s="295"/>
      <c r="G506" s="294" t="s">
        <v>693</v>
      </c>
      <c r="H506" s="407">
        <f>SUM(H502:H505)</f>
        <v>6</v>
      </c>
      <c r="I506" s="654"/>
      <c r="J506" s="654"/>
    </row>
    <row r="507" spans="2:14" ht="20.25" customHeight="1" x14ac:dyDescent="0.25">
      <c r="B507" s="300"/>
      <c r="C507" s="294"/>
      <c r="D507" s="294"/>
      <c r="E507" s="294"/>
      <c r="F507" s="295"/>
      <c r="G507" s="294"/>
      <c r="H507" s="294"/>
      <c r="I507" s="301"/>
      <c r="J507" s="289"/>
    </row>
    <row r="508" spans="2:14" x14ac:dyDescent="0.25">
      <c r="F508" s="284"/>
    </row>
    <row r="509" spans="2:14" x14ac:dyDescent="0.25">
      <c r="F509" s="284"/>
    </row>
    <row r="510" spans="2:14" ht="51" customHeight="1" x14ac:dyDescent="0.25">
      <c r="B510" s="659" t="s">
        <v>805</v>
      </c>
      <c r="C510" s="659"/>
      <c r="D510" s="659"/>
      <c r="E510" s="659"/>
      <c r="F510" s="659"/>
      <c r="G510" s="660"/>
      <c r="H510" s="660"/>
      <c r="I510" s="660"/>
      <c r="J510" s="660"/>
    </row>
    <row r="511" spans="2:14" ht="15.75" customHeight="1" x14ac:dyDescent="0.25">
      <c r="B511" s="655" t="str">
        <f>+'Actas de may y men"'!B65</f>
        <v>5,5</v>
      </c>
      <c r="C511" s="655"/>
      <c r="D511" s="655"/>
      <c r="E511" s="655"/>
      <c r="F511" s="655"/>
      <c r="G511" s="655" t="str">
        <f>+'Actas de may y men"'!C65</f>
        <v>Resane y pintura (muros existentes)</v>
      </c>
      <c r="H511" s="655"/>
      <c r="I511" s="655"/>
      <c r="K511" s="286"/>
      <c r="L511" s="286"/>
      <c r="M511" s="286"/>
      <c r="N511" s="286"/>
    </row>
    <row r="512" spans="2:14" ht="35.1" customHeight="1" x14ac:dyDescent="0.25">
      <c r="B512" s="289"/>
      <c r="C512" s="290"/>
      <c r="D512" s="290"/>
      <c r="E512" s="290"/>
      <c r="F512" s="291"/>
      <c r="G512" s="290"/>
      <c r="H512" s="290"/>
      <c r="I512" s="292"/>
      <c r="J512" s="289"/>
      <c r="K512" s="286"/>
      <c r="L512" s="286"/>
      <c r="M512" s="286"/>
      <c r="N512" s="286"/>
    </row>
    <row r="513" spans="2:10" x14ac:dyDescent="0.25">
      <c r="B513" s="656"/>
      <c r="C513" s="656"/>
      <c r="D513" s="294"/>
      <c r="E513" s="294"/>
      <c r="F513" s="295"/>
      <c r="G513" s="294"/>
      <c r="I513" s="402"/>
      <c r="J513" s="403"/>
    </row>
    <row r="514" spans="2:10" x14ac:dyDescent="0.25">
      <c r="B514" s="301"/>
      <c r="C514" s="404" t="s">
        <v>809</v>
      </c>
      <c r="D514" s="405" t="s">
        <v>810</v>
      </c>
      <c r="E514" s="404" t="s">
        <v>811</v>
      </c>
      <c r="F514" s="406" t="s">
        <v>812</v>
      </c>
      <c r="G514" s="404" t="s">
        <v>813</v>
      </c>
      <c r="H514" s="404" t="s">
        <v>693</v>
      </c>
      <c r="I514" s="657" t="s">
        <v>814</v>
      </c>
      <c r="J514" s="657"/>
    </row>
    <row r="515" spans="2:10" x14ac:dyDescent="0.25">
      <c r="B515" s="400"/>
      <c r="C515" s="407"/>
      <c r="D515" s="407"/>
      <c r="E515" s="407"/>
      <c r="F515" s="408"/>
      <c r="G515" s="294"/>
      <c r="H515" s="407"/>
      <c r="I515" s="658"/>
      <c r="J515" s="658"/>
    </row>
    <row r="516" spans="2:10" x14ac:dyDescent="0.25">
      <c r="B516" s="400" t="s">
        <v>885</v>
      </c>
      <c r="C516" s="407"/>
      <c r="D516" s="407"/>
      <c r="E516" s="407"/>
      <c r="F516" s="408"/>
      <c r="G516" s="407"/>
      <c r="H516" s="407"/>
      <c r="I516" s="658"/>
      <c r="J516" s="658"/>
    </row>
    <row r="517" spans="2:10" x14ac:dyDescent="0.25">
      <c r="B517" s="400" t="s">
        <v>886</v>
      </c>
      <c r="C517" s="407"/>
      <c r="D517" s="407"/>
      <c r="E517" s="407"/>
      <c r="F517" s="408"/>
      <c r="G517" s="407">
        <v>3</v>
      </c>
      <c r="H517" s="407">
        <f>+G517</f>
        <v>3</v>
      </c>
      <c r="I517" s="658"/>
      <c r="J517" s="658"/>
    </row>
    <row r="518" spans="2:10" x14ac:dyDescent="0.25">
      <c r="B518" s="400" t="s">
        <v>887</v>
      </c>
      <c r="C518" s="407"/>
      <c r="D518" s="407"/>
      <c r="E518" s="407"/>
      <c r="F518" s="408"/>
      <c r="G518" s="407">
        <v>3</v>
      </c>
      <c r="H518" s="407">
        <f>+G518</f>
        <v>3</v>
      </c>
      <c r="I518" s="401"/>
      <c r="J518" s="401"/>
    </row>
    <row r="519" spans="2:10" ht="38.25" customHeight="1" x14ac:dyDescent="0.25">
      <c r="B519" s="300"/>
      <c r="C519" s="294"/>
      <c r="D519" s="294"/>
      <c r="E519" s="294"/>
      <c r="F519" s="295"/>
      <c r="G519" s="294" t="s">
        <v>693</v>
      </c>
      <c r="H519" s="407">
        <f>SUM(H515:H518)</f>
        <v>6</v>
      </c>
      <c r="I519" s="654"/>
      <c r="J519" s="654"/>
    </row>
    <row r="520" spans="2:10" ht="20.25" customHeight="1" x14ac:dyDescent="0.25">
      <c r="B520" s="300"/>
      <c r="C520" s="294"/>
      <c r="D520" s="294"/>
      <c r="E520" s="294"/>
      <c r="F520" s="295"/>
      <c r="G520" s="294"/>
      <c r="H520" s="294"/>
      <c r="I520" s="301"/>
      <c r="J520" s="293"/>
    </row>
    <row r="521" spans="2:10" ht="20.25" customHeight="1" x14ac:dyDescent="0.25">
      <c r="B521" s="300"/>
      <c r="C521" s="294"/>
      <c r="D521" s="294"/>
      <c r="E521" s="294"/>
      <c r="F521" s="295"/>
      <c r="G521" s="294"/>
      <c r="H521" s="294"/>
      <c r="I521" s="301"/>
      <c r="J521" s="285"/>
    </row>
    <row r="522" spans="2:10" ht="20.25" customHeight="1" thickBot="1" x14ac:dyDescent="0.3">
      <c r="B522" s="302"/>
      <c r="C522" s="302"/>
      <c r="D522" s="302"/>
      <c r="E522" s="302"/>
      <c r="F522" s="302"/>
      <c r="G522" s="302"/>
      <c r="H522" s="303"/>
      <c r="I522" s="304"/>
      <c r="J522" s="288"/>
    </row>
  </sheetData>
  <mergeCells count="306">
    <mergeCell ref="B500:C500"/>
    <mergeCell ref="I501:J501"/>
    <mergeCell ref="I502:J504"/>
    <mergeCell ref="I506:J506"/>
    <mergeCell ref="B510:J510"/>
    <mergeCell ref="B513:C513"/>
    <mergeCell ref="I514:J514"/>
    <mergeCell ref="I515:J517"/>
    <mergeCell ref="I519:J519"/>
    <mergeCell ref="B511:F511"/>
    <mergeCell ref="G511:I511"/>
    <mergeCell ref="B484:J484"/>
    <mergeCell ref="B485:F485"/>
    <mergeCell ref="G485:I485"/>
    <mergeCell ref="B487:C487"/>
    <mergeCell ref="I488:J488"/>
    <mergeCell ref="I489:J491"/>
    <mergeCell ref="I493:J493"/>
    <mergeCell ref="B497:J497"/>
    <mergeCell ref="B498:F498"/>
    <mergeCell ref="G498:I498"/>
    <mergeCell ref="B452:H452"/>
    <mergeCell ref="B458:J458"/>
    <mergeCell ref="B472:J472"/>
    <mergeCell ref="B461:C461"/>
    <mergeCell ref="I462:J462"/>
    <mergeCell ref="I463:J465"/>
    <mergeCell ref="I467:J467"/>
    <mergeCell ref="B459:F459"/>
    <mergeCell ref="G459:I459"/>
    <mergeCell ref="B442:F442"/>
    <mergeCell ref="G442:I442"/>
    <mergeCell ref="B444:C444"/>
    <mergeCell ref="I445:J445"/>
    <mergeCell ref="I446:J448"/>
    <mergeCell ref="I450:J450"/>
    <mergeCell ref="B437:B438"/>
    <mergeCell ref="C437:J438"/>
    <mergeCell ref="D439:E439"/>
    <mergeCell ref="G439:H439"/>
    <mergeCell ref="I439:J439"/>
    <mergeCell ref="B441:E441"/>
    <mergeCell ref="G441:I441"/>
    <mergeCell ref="B421:C421"/>
    <mergeCell ref="I422:J422"/>
    <mergeCell ref="I423:J425"/>
    <mergeCell ref="I427:J427"/>
    <mergeCell ref="B429:H429"/>
    <mergeCell ref="B435:J435"/>
    <mergeCell ref="D416:E416"/>
    <mergeCell ref="G416:H416"/>
    <mergeCell ref="I416:J416"/>
    <mergeCell ref="B418:E418"/>
    <mergeCell ref="G418:I418"/>
    <mergeCell ref="B419:F419"/>
    <mergeCell ref="G419:I419"/>
    <mergeCell ref="I400:J402"/>
    <mergeCell ref="I404:J404"/>
    <mergeCell ref="B406:H406"/>
    <mergeCell ref="B412:J412"/>
    <mergeCell ref="B414:B415"/>
    <mergeCell ref="C414:J415"/>
    <mergeCell ref="B395:E395"/>
    <mergeCell ref="G395:I395"/>
    <mergeCell ref="B396:F396"/>
    <mergeCell ref="G396:I396"/>
    <mergeCell ref="B398:C398"/>
    <mergeCell ref="I399:J399"/>
    <mergeCell ref="B383:H383"/>
    <mergeCell ref="B389:J389"/>
    <mergeCell ref="B391:B392"/>
    <mergeCell ref="C391:J392"/>
    <mergeCell ref="D393:E393"/>
    <mergeCell ref="G393:H393"/>
    <mergeCell ref="I393:J393"/>
    <mergeCell ref="B373:F373"/>
    <mergeCell ref="G373:I373"/>
    <mergeCell ref="B375:C375"/>
    <mergeCell ref="I376:J376"/>
    <mergeCell ref="I377:J379"/>
    <mergeCell ref="I381:J381"/>
    <mergeCell ref="B368:B369"/>
    <mergeCell ref="C368:J369"/>
    <mergeCell ref="D370:E370"/>
    <mergeCell ref="G370:H370"/>
    <mergeCell ref="I370:J370"/>
    <mergeCell ref="B372:E372"/>
    <mergeCell ref="G372:I372"/>
    <mergeCell ref="B352:C352"/>
    <mergeCell ref="I353:J353"/>
    <mergeCell ref="I354:J356"/>
    <mergeCell ref="I358:J358"/>
    <mergeCell ref="B360:H360"/>
    <mergeCell ref="B366:J366"/>
    <mergeCell ref="D347:E347"/>
    <mergeCell ref="G347:H347"/>
    <mergeCell ref="I347:J347"/>
    <mergeCell ref="B349:E349"/>
    <mergeCell ref="G349:I349"/>
    <mergeCell ref="B350:F350"/>
    <mergeCell ref="G350:I350"/>
    <mergeCell ref="I331:J333"/>
    <mergeCell ref="I335:J335"/>
    <mergeCell ref="B337:H337"/>
    <mergeCell ref="B343:J343"/>
    <mergeCell ref="B345:B346"/>
    <mergeCell ref="C345:J346"/>
    <mergeCell ref="B326:E326"/>
    <mergeCell ref="G326:I326"/>
    <mergeCell ref="B327:F327"/>
    <mergeCell ref="G327:I327"/>
    <mergeCell ref="B329:C329"/>
    <mergeCell ref="I330:J330"/>
    <mergeCell ref="B314:H314"/>
    <mergeCell ref="B320:J320"/>
    <mergeCell ref="B322:B323"/>
    <mergeCell ref="C322:J323"/>
    <mergeCell ref="D324:E324"/>
    <mergeCell ref="G324:H324"/>
    <mergeCell ref="I324:J324"/>
    <mergeCell ref="B304:F304"/>
    <mergeCell ref="G304:I304"/>
    <mergeCell ref="B306:C306"/>
    <mergeCell ref="I307:J307"/>
    <mergeCell ref="I308:J310"/>
    <mergeCell ref="I312:J312"/>
    <mergeCell ref="B299:B300"/>
    <mergeCell ref="C299:J300"/>
    <mergeCell ref="D301:E301"/>
    <mergeCell ref="G301:H301"/>
    <mergeCell ref="I301:J301"/>
    <mergeCell ref="B303:E303"/>
    <mergeCell ref="G303:I303"/>
    <mergeCell ref="B283:C283"/>
    <mergeCell ref="I284:J284"/>
    <mergeCell ref="I285:J287"/>
    <mergeCell ref="I289:J289"/>
    <mergeCell ref="B291:H291"/>
    <mergeCell ref="B297:J297"/>
    <mergeCell ref="D278:E278"/>
    <mergeCell ref="G278:H278"/>
    <mergeCell ref="I278:J278"/>
    <mergeCell ref="B280:E280"/>
    <mergeCell ref="G280:I280"/>
    <mergeCell ref="B281:F281"/>
    <mergeCell ref="G281:I281"/>
    <mergeCell ref="B274:J274"/>
    <mergeCell ref="B276:B277"/>
    <mergeCell ref="C276:J277"/>
    <mergeCell ref="B268:H268"/>
    <mergeCell ref="B258:F258"/>
    <mergeCell ref="G258:I258"/>
    <mergeCell ref="B260:C260"/>
    <mergeCell ref="I261:J261"/>
    <mergeCell ref="I262:J264"/>
    <mergeCell ref="I266:J266"/>
    <mergeCell ref="B253:B254"/>
    <mergeCell ref="C253:J254"/>
    <mergeCell ref="D255:E255"/>
    <mergeCell ref="G255:H255"/>
    <mergeCell ref="I255:J255"/>
    <mergeCell ref="B257:E257"/>
    <mergeCell ref="G257:I257"/>
    <mergeCell ref="B237:C237"/>
    <mergeCell ref="I238:J238"/>
    <mergeCell ref="I239:J241"/>
    <mergeCell ref="I243:J243"/>
    <mergeCell ref="B245:H245"/>
    <mergeCell ref="B251:J251"/>
    <mergeCell ref="B234:E234"/>
    <mergeCell ref="G234:I234"/>
    <mergeCell ref="B235:F235"/>
    <mergeCell ref="G235:I235"/>
    <mergeCell ref="I220:J223"/>
    <mergeCell ref="I224:J224"/>
    <mergeCell ref="B228:J228"/>
    <mergeCell ref="B230:B231"/>
    <mergeCell ref="C230:J231"/>
    <mergeCell ref="B216:F216"/>
    <mergeCell ref="G216:I216"/>
    <mergeCell ref="B218:C218"/>
    <mergeCell ref="I219:J219"/>
    <mergeCell ref="B209:H209"/>
    <mergeCell ref="B215:J215"/>
    <mergeCell ref="D232:E232"/>
    <mergeCell ref="G232:H232"/>
    <mergeCell ref="I232:J232"/>
    <mergeCell ref="B200:F200"/>
    <mergeCell ref="G200:I200"/>
    <mergeCell ref="B202:C202"/>
    <mergeCell ref="I203:J203"/>
    <mergeCell ref="I207:J207"/>
    <mergeCell ref="B195:B196"/>
    <mergeCell ref="C195:J196"/>
    <mergeCell ref="D197:E197"/>
    <mergeCell ref="G197:H197"/>
    <mergeCell ref="I197:J197"/>
    <mergeCell ref="B199:E199"/>
    <mergeCell ref="G199:I199"/>
    <mergeCell ref="I204:J206"/>
    <mergeCell ref="B180:C180"/>
    <mergeCell ref="I181:J181"/>
    <mergeCell ref="I182:J183"/>
    <mergeCell ref="I185:J185"/>
    <mergeCell ref="B187:H187"/>
    <mergeCell ref="B193:J193"/>
    <mergeCell ref="D175:E175"/>
    <mergeCell ref="G175:H175"/>
    <mergeCell ref="I175:J175"/>
    <mergeCell ref="B177:E177"/>
    <mergeCell ref="G177:I177"/>
    <mergeCell ref="B178:F178"/>
    <mergeCell ref="G178:I178"/>
    <mergeCell ref="I159:J161"/>
    <mergeCell ref="I163:J163"/>
    <mergeCell ref="B165:H165"/>
    <mergeCell ref="B171:J171"/>
    <mergeCell ref="B173:B174"/>
    <mergeCell ref="C173:J174"/>
    <mergeCell ref="B154:E154"/>
    <mergeCell ref="G154:I154"/>
    <mergeCell ref="B155:F155"/>
    <mergeCell ref="G155:I155"/>
    <mergeCell ref="B157:C157"/>
    <mergeCell ref="I158:J158"/>
    <mergeCell ref="B123:C123"/>
    <mergeCell ref="I124:J124"/>
    <mergeCell ref="I125:J131"/>
    <mergeCell ref="I132:J132"/>
    <mergeCell ref="B136:J136"/>
    <mergeCell ref="B148:J148"/>
    <mergeCell ref="B150:B151"/>
    <mergeCell ref="C150:J151"/>
    <mergeCell ref="D152:E152"/>
    <mergeCell ref="G152:H152"/>
    <mergeCell ref="I152:J152"/>
    <mergeCell ref="B137:F137"/>
    <mergeCell ref="G137:I137"/>
    <mergeCell ref="B139:C139"/>
    <mergeCell ref="I140:J140"/>
    <mergeCell ref="I141:J143"/>
    <mergeCell ref="I145:J145"/>
    <mergeCell ref="B106:F106"/>
    <mergeCell ref="G106:I106"/>
    <mergeCell ref="B108:C108"/>
    <mergeCell ref="I109:J109"/>
    <mergeCell ref="B105:J105"/>
    <mergeCell ref="B121:F121"/>
    <mergeCell ref="G121:I121"/>
    <mergeCell ref="I115:J115"/>
    <mergeCell ref="B120:J120"/>
    <mergeCell ref="B92:J92"/>
    <mergeCell ref="B75:F75"/>
    <mergeCell ref="G75:I75"/>
    <mergeCell ref="B93:F93"/>
    <mergeCell ref="G93:I93"/>
    <mergeCell ref="B95:C95"/>
    <mergeCell ref="I96:J96"/>
    <mergeCell ref="I97:J99"/>
    <mergeCell ref="I101:J101"/>
    <mergeCell ref="B74:J74"/>
    <mergeCell ref="B57:F57"/>
    <mergeCell ref="G57:I57"/>
    <mergeCell ref="B59:C59"/>
    <mergeCell ref="I60:J60"/>
    <mergeCell ref="B77:C77"/>
    <mergeCell ref="I78:J78"/>
    <mergeCell ref="I79:J86"/>
    <mergeCell ref="I88:J88"/>
    <mergeCell ref="B3:J3"/>
    <mergeCell ref="B4:F4"/>
    <mergeCell ref="G4:I4"/>
    <mergeCell ref="B17:F17"/>
    <mergeCell ref="G17:I17"/>
    <mergeCell ref="B19:C19"/>
    <mergeCell ref="I20:J20"/>
    <mergeCell ref="B16:J16"/>
    <mergeCell ref="B30:F30"/>
    <mergeCell ref="G30:I30"/>
    <mergeCell ref="I21:J24"/>
    <mergeCell ref="I25:J25"/>
    <mergeCell ref="B29:J29"/>
    <mergeCell ref="I481:J481"/>
    <mergeCell ref="B473:F473"/>
    <mergeCell ref="G473:I473"/>
    <mergeCell ref="B475:C475"/>
    <mergeCell ref="I476:J476"/>
    <mergeCell ref="I477:J479"/>
    <mergeCell ref="B6:C6"/>
    <mergeCell ref="I7:J7"/>
    <mergeCell ref="I8:J11"/>
    <mergeCell ref="I12:J12"/>
    <mergeCell ref="B32:C32"/>
    <mergeCell ref="I33:J33"/>
    <mergeCell ref="I34:J36"/>
    <mergeCell ref="I38:J38"/>
    <mergeCell ref="B42:J42"/>
    <mergeCell ref="B56:J56"/>
    <mergeCell ref="B43:F43"/>
    <mergeCell ref="G43:I43"/>
    <mergeCell ref="B45:C45"/>
    <mergeCell ref="I46:J46"/>
    <mergeCell ref="I47:J49"/>
    <mergeCell ref="I52:J52"/>
    <mergeCell ref="I61:J67"/>
    <mergeCell ref="I70:J70"/>
  </mergeCells>
  <conditionalFormatting sqref="N63:N65">
    <cfRule type="cellIs" dxfId="0" priority="1" stopIfTrue="1" operator="equal">
      <formula>"Columna1"</formula>
    </cfRule>
  </conditionalFormatting>
  <printOptions horizontalCentered="1"/>
  <pageMargins left="0.70866141732283472" right="0.70866141732283472" top="0.74803149606299213" bottom="0.74803149606299213" header="0.31496062992125984" footer="0.31496062992125984"/>
  <pageSetup paperSize="14" scale="45" fitToHeight="4" orientation="portrait" horizontalDpi="4294967293" r:id="rId1"/>
  <rowBreaks count="3" manualBreakCount="3">
    <brk id="73" min="1" max="9" man="1"/>
    <brk id="457" min="1" max="9" man="1"/>
    <brk id="519" min="1" max="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312"/>
  <sheetViews>
    <sheetView topLeftCell="A273" zoomScale="70" zoomScaleNormal="70" workbookViewId="0">
      <selection activeCell="D312" sqref="D312"/>
    </sheetView>
  </sheetViews>
  <sheetFormatPr baseColWidth="10" defaultColWidth="11.42578125" defaultRowHeight="15.75" x14ac:dyDescent="0.25"/>
  <cols>
    <col min="1" max="1" width="11.42578125" style="34"/>
    <col min="2" max="2" width="74" style="41" customWidth="1"/>
    <col min="3" max="3" width="11.42578125" style="34"/>
    <col min="4" max="4" width="18.42578125" style="38" bestFit="1" customWidth="1"/>
    <col min="5" max="5" width="15.140625" style="40" customWidth="1"/>
    <col min="6" max="16384" width="11.42578125" style="40"/>
  </cols>
  <sheetData>
    <row r="1" spans="1:5" s="31" customFormat="1" ht="31.5" x14ac:dyDescent="0.25">
      <c r="A1" s="31" t="s">
        <v>66</v>
      </c>
      <c r="B1" s="32" t="s">
        <v>67</v>
      </c>
      <c r="C1" s="31" t="s">
        <v>52</v>
      </c>
      <c r="D1" s="33" t="s">
        <v>68</v>
      </c>
    </row>
    <row r="2" spans="1:5" s="34" customFormat="1" ht="167.25" customHeight="1" x14ac:dyDescent="0.25">
      <c r="A2" s="34" t="s">
        <v>69</v>
      </c>
      <c r="B2" s="35" t="s">
        <v>70</v>
      </c>
      <c r="C2" s="23" t="s">
        <v>54</v>
      </c>
      <c r="D2" s="36">
        <v>86000000</v>
      </c>
    </row>
    <row r="3" spans="1:5" s="34" customFormat="1" ht="30.75" customHeight="1" x14ac:dyDescent="0.25">
      <c r="A3" s="34" t="s">
        <v>71</v>
      </c>
      <c r="B3" s="35" t="s">
        <v>72</v>
      </c>
      <c r="C3" s="34" t="s">
        <v>55</v>
      </c>
      <c r="D3" s="37">
        <v>160000</v>
      </c>
    </row>
    <row r="4" spans="1:5" s="34" customFormat="1" x14ac:dyDescent="0.25">
      <c r="A4" s="47" t="s">
        <v>73</v>
      </c>
      <c r="B4" s="67" t="s">
        <v>625</v>
      </c>
      <c r="C4" s="47" t="s">
        <v>57</v>
      </c>
      <c r="D4" s="49" t="e">
        <f>'APU OBRA'!#REF!</f>
        <v>#REF!</v>
      </c>
    </row>
    <row r="5" spans="1:5" s="34" customFormat="1" x14ac:dyDescent="0.25">
      <c r="A5" s="34" t="s">
        <v>74</v>
      </c>
      <c r="B5" s="24" t="s">
        <v>75</v>
      </c>
      <c r="C5" s="34" t="s">
        <v>55</v>
      </c>
      <c r="D5" s="38">
        <v>5115.1000000000004</v>
      </c>
    </row>
    <row r="6" spans="1:5" s="34" customFormat="1" x14ac:dyDescent="0.25">
      <c r="B6" s="35"/>
      <c r="D6" s="37"/>
      <c r="E6" s="53"/>
    </row>
    <row r="7" spans="1:5" s="34" customFormat="1" ht="117.75" customHeight="1" x14ac:dyDescent="0.25">
      <c r="A7" s="34" t="s">
        <v>76</v>
      </c>
      <c r="B7" s="35" t="s">
        <v>77</v>
      </c>
      <c r="C7" s="23" t="s">
        <v>54</v>
      </c>
      <c r="D7" s="37">
        <v>48000000</v>
      </c>
    </row>
    <row r="8" spans="1:5" s="34" customFormat="1" ht="16.5" customHeight="1" x14ac:dyDescent="0.25">
      <c r="B8" s="35"/>
      <c r="C8" s="39"/>
      <c r="D8" s="37"/>
    </row>
    <row r="9" spans="1:5" s="34" customFormat="1" x14ac:dyDescent="0.25">
      <c r="A9" s="34" t="s">
        <v>78</v>
      </c>
      <c r="B9" s="35" t="s">
        <v>79</v>
      </c>
      <c r="C9" s="23" t="s">
        <v>54</v>
      </c>
      <c r="D9" s="37">
        <v>6000</v>
      </c>
    </row>
    <row r="10" spans="1:5" s="34" customFormat="1" ht="31.5" x14ac:dyDescent="0.25">
      <c r="A10" s="34" t="s">
        <v>80</v>
      </c>
      <c r="B10" s="35" t="s">
        <v>81</v>
      </c>
      <c r="C10" s="34" t="s">
        <v>55</v>
      </c>
      <c r="D10" s="37">
        <v>70000</v>
      </c>
    </row>
    <row r="11" spans="1:5" s="34" customFormat="1" ht="31.5" x14ac:dyDescent="0.25">
      <c r="A11" s="34" t="s">
        <v>82</v>
      </c>
      <c r="B11" s="35" t="s">
        <v>83</v>
      </c>
      <c r="C11" s="34" t="s">
        <v>56</v>
      </c>
      <c r="D11" s="37">
        <v>35000</v>
      </c>
    </row>
    <row r="12" spans="1:5" s="34" customFormat="1" x14ac:dyDescent="0.25">
      <c r="A12" s="34" t="s">
        <v>84</v>
      </c>
      <c r="B12" s="35" t="s">
        <v>85</v>
      </c>
      <c r="C12" s="23" t="s">
        <v>54</v>
      </c>
      <c r="D12" s="37">
        <v>250000</v>
      </c>
    </row>
    <row r="13" spans="1:5" s="34" customFormat="1" x14ac:dyDescent="0.25">
      <c r="A13" s="34" t="s">
        <v>86</v>
      </c>
      <c r="B13" s="35" t="s">
        <v>87</v>
      </c>
      <c r="C13" s="23" t="s">
        <v>54</v>
      </c>
      <c r="D13" s="37">
        <v>7500</v>
      </c>
    </row>
    <row r="14" spans="1:5" s="34" customFormat="1" ht="31.5" x14ac:dyDescent="0.25">
      <c r="A14" s="34" t="s">
        <v>88</v>
      </c>
      <c r="B14" s="35" t="s">
        <v>89</v>
      </c>
      <c r="C14" s="34" t="s">
        <v>55</v>
      </c>
      <c r="D14" s="37">
        <v>358888</v>
      </c>
    </row>
    <row r="15" spans="1:5" ht="15" customHeight="1" x14ac:dyDescent="0.25">
      <c r="A15" s="34" t="s">
        <v>90</v>
      </c>
      <c r="B15" s="24" t="s">
        <v>91</v>
      </c>
      <c r="C15" s="23" t="s">
        <v>57</v>
      </c>
      <c r="D15" s="25">
        <v>210000</v>
      </c>
      <c r="E15" s="24"/>
    </row>
    <row r="16" spans="1:5" ht="15" customHeight="1" x14ac:dyDescent="0.25">
      <c r="A16" s="34" t="s">
        <v>92</v>
      </c>
      <c r="B16" s="24" t="s">
        <v>93</v>
      </c>
      <c r="C16" s="23" t="s">
        <v>54</v>
      </c>
      <c r="D16" s="25">
        <v>2000</v>
      </c>
      <c r="E16" s="26"/>
    </row>
    <row r="17" spans="1:5" ht="15" customHeight="1" x14ac:dyDescent="0.25">
      <c r="A17" s="34" t="s">
        <v>94</v>
      </c>
      <c r="B17" s="24" t="s">
        <v>95</v>
      </c>
      <c r="C17" s="23" t="s">
        <v>54</v>
      </c>
      <c r="D17" s="25">
        <v>122000</v>
      </c>
      <c r="E17" s="24"/>
    </row>
    <row r="18" spans="1:5" x14ac:dyDescent="0.25">
      <c r="A18" s="34" t="s">
        <v>96</v>
      </c>
      <c r="B18" s="24" t="s">
        <v>618</v>
      </c>
      <c r="C18" s="23" t="s">
        <v>57</v>
      </c>
      <c r="D18" s="38">
        <v>35000</v>
      </c>
      <c r="E18" s="24"/>
    </row>
    <row r="19" spans="1:5" x14ac:dyDescent="0.25">
      <c r="A19" s="34" t="s">
        <v>617</v>
      </c>
      <c r="B19" s="24" t="s">
        <v>619</v>
      </c>
      <c r="C19" s="23" t="s">
        <v>57</v>
      </c>
      <c r="D19" s="38">
        <v>70000</v>
      </c>
      <c r="E19" s="24"/>
    </row>
    <row r="20" spans="1:5" x14ac:dyDescent="0.25">
      <c r="A20" s="34" t="s">
        <v>97</v>
      </c>
      <c r="B20" s="24" t="s">
        <v>98</v>
      </c>
      <c r="C20" s="23" t="s">
        <v>57</v>
      </c>
      <c r="D20" s="38">
        <v>56000</v>
      </c>
    </row>
    <row r="21" spans="1:5" x14ac:dyDescent="0.25">
      <c r="A21" s="34" t="s">
        <v>99</v>
      </c>
      <c r="B21" s="24" t="s">
        <v>100</v>
      </c>
      <c r="C21" s="23" t="s">
        <v>57</v>
      </c>
      <c r="D21" s="38">
        <v>0</v>
      </c>
    </row>
    <row r="22" spans="1:5" x14ac:dyDescent="0.25">
      <c r="A22" s="34" t="s">
        <v>101</v>
      </c>
      <c r="B22" s="24" t="s">
        <v>102</v>
      </c>
      <c r="C22" s="23" t="s">
        <v>57</v>
      </c>
      <c r="D22" s="38">
        <v>53000</v>
      </c>
    </row>
    <row r="23" spans="1:5" x14ac:dyDescent="0.25">
      <c r="A23" s="34" t="s">
        <v>103</v>
      </c>
      <c r="B23" s="24" t="s">
        <v>104</v>
      </c>
      <c r="C23" s="23" t="s">
        <v>64</v>
      </c>
      <c r="D23" s="38">
        <v>3000</v>
      </c>
    </row>
    <row r="24" spans="1:5" x14ac:dyDescent="0.25">
      <c r="A24" s="34" t="s">
        <v>105</v>
      </c>
      <c r="B24" s="24" t="s">
        <v>106</v>
      </c>
      <c r="C24" s="34" t="s">
        <v>64</v>
      </c>
      <c r="D24" s="38">
        <v>50000</v>
      </c>
    </row>
    <row r="25" spans="1:5" x14ac:dyDescent="0.25">
      <c r="A25" s="34" t="s">
        <v>107</v>
      </c>
      <c r="B25" s="24" t="s">
        <v>108</v>
      </c>
      <c r="C25" s="23" t="s">
        <v>54</v>
      </c>
      <c r="D25" s="25">
        <v>1800</v>
      </c>
    </row>
    <row r="26" spans="1:5" x14ac:dyDescent="0.25">
      <c r="A26" s="34" t="s">
        <v>109</v>
      </c>
      <c r="B26" s="24" t="s">
        <v>110</v>
      </c>
      <c r="C26" s="34" t="s">
        <v>111</v>
      </c>
      <c r="D26" s="38">
        <v>1200</v>
      </c>
    </row>
    <row r="27" spans="1:5" x14ac:dyDescent="0.25">
      <c r="C27" s="40"/>
      <c r="D27" s="40"/>
    </row>
    <row r="28" spans="1:5" ht="31.5" x14ac:dyDescent="0.25">
      <c r="A28" s="34" t="s">
        <v>112</v>
      </c>
      <c r="B28" s="24" t="s">
        <v>113</v>
      </c>
      <c r="C28" s="34" t="s">
        <v>58</v>
      </c>
      <c r="D28" s="38">
        <f>18240+2000</f>
        <v>20240</v>
      </c>
    </row>
    <row r="29" spans="1:5" x14ac:dyDescent="0.25">
      <c r="C29" s="40"/>
      <c r="D29" s="40"/>
    </row>
    <row r="30" spans="1:5" x14ac:dyDescent="0.25">
      <c r="A30" s="34" t="s">
        <v>114</v>
      </c>
      <c r="B30" s="24" t="s">
        <v>115</v>
      </c>
      <c r="C30" s="34" t="s">
        <v>58</v>
      </c>
      <c r="D30" s="38">
        <v>250000</v>
      </c>
    </row>
    <row r="31" spans="1:5" x14ac:dyDescent="0.25">
      <c r="A31" s="34" t="s">
        <v>116</v>
      </c>
      <c r="B31" s="41" t="s">
        <v>117</v>
      </c>
      <c r="C31" s="34" t="s">
        <v>58</v>
      </c>
      <c r="D31" s="38">
        <v>150000</v>
      </c>
    </row>
    <row r="32" spans="1:5" x14ac:dyDescent="0.25">
      <c r="A32" s="34" t="s">
        <v>118</v>
      </c>
      <c r="B32" s="41" t="s">
        <v>119</v>
      </c>
      <c r="C32" s="34" t="s">
        <v>58</v>
      </c>
      <c r="D32" s="38">
        <v>3000</v>
      </c>
    </row>
    <row r="33" spans="1:5" x14ac:dyDescent="0.25">
      <c r="A33" s="34" t="s">
        <v>120</v>
      </c>
      <c r="B33" s="41" t="s">
        <v>121</v>
      </c>
      <c r="C33" s="34" t="s">
        <v>57</v>
      </c>
      <c r="D33" s="38">
        <v>45000</v>
      </c>
    </row>
    <row r="34" spans="1:5" x14ac:dyDescent="0.25">
      <c r="A34" s="47" t="s">
        <v>122</v>
      </c>
      <c r="B34" s="48" t="s">
        <v>631</v>
      </c>
      <c r="C34" s="47" t="s">
        <v>64</v>
      </c>
      <c r="D34" s="49">
        <v>3000</v>
      </c>
    </row>
    <row r="35" spans="1:5" x14ac:dyDescent="0.25">
      <c r="A35" s="47" t="s">
        <v>123</v>
      </c>
      <c r="B35" s="48" t="s">
        <v>630</v>
      </c>
      <c r="C35" s="47" t="s">
        <v>64</v>
      </c>
      <c r="D35" s="49">
        <v>3700</v>
      </c>
    </row>
    <row r="36" spans="1:5" x14ac:dyDescent="0.25">
      <c r="A36" s="34" t="s">
        <v>124</v>
      </c>
      <c r="B36" s="41" t="s">
        <v>125</v>
      </c>
      <c r="C36" s="34" t="s">
        <v>111</v>
      </c>
      <c r="D36" s="38">
        <v>1085</v>
      </c>
    </row>
    <row r="37" spans="1:5" ht="126" x14ac:dyDescent="0.25">
      <c r="A37" s="34" t="s">
        <v>126</v>
      </c>
      <c r="B37" s="41" t="s">
        <v>127</v>
      </c>
      <c r="C37" s="34" t="s">
        <v>56</v>
      </c>
      <c r="D37" s="38">
        <v>110000</v>
      </c>
    </row>
    <row r="38" spans="1:5" x14ac:dyDescent="0.25">
      <c r="A38" s="34" t="s">
        <v>128</v>
      </c>
      <c r="B38" s="41" t="s">
        <v>129</v>
      </c>
      <c r="C38" s="34" t="s">
        <v>58</v>
      </c>
      <c r="D38" s="38">
        <v>450000</v>
      </c>
    </row>
    <row r="39" spans="1:5" x14ac:dyDescent="0.25">
      <c r="A39" s="34" t="s">
        <v>130</v>
      </c>
      <c r="B39" s="41" t="s">
        <v>131</v>
      </c>
      <c r="C39" s="34" t="s">
        <v>58</v>
      </c>
      <c r="D39" s="38">
        <v>1300</v>
      </c>
    </row>
    <row r="40" spans="1:5" x14ac:dyDescent="0.25">
      <c r="A40" s="34" t="s">
        <v>132</v>
      </c>
      <c r="B40" s="41" t="s">
        <v>133</v>
      </c>
      <c r="C40" s="34" t="s">
        <v>58</v>
      </c>
      <c r="D40" s="38">
        <v>42000</v>
      </c>
    </row>
    <row r="41" spans="1:5" x14ac:dyDescent="0.25">
      <c r="A41" s="34" t="s">
        <v>134</v>
      </c>
      <c r="B41" s="41" t="s">
        <v>135</v>
      </c>
      <c r="C41" s="34" t="s">
        <v>55</v>
      </c>
      <c r="D41" s="38">
        <v>5000</v>
      </c>
    </row>
    <row r="42" spans="1:5" x14ac:dyDescent="0.25">
      <c r="A42" s="34" t="s">
        <v>136</v>
      </c>
      <c r="B42" s="41" t="s">
        <v>137</v>
      </c>
      <c r="C42" s="34" t="s">
        <v>138</v>
      </c>
      <c r="D42" s="38">
        <v>100000</v>
      </c>
    </row>
    <row r="43" spans="1:5" x14ac:dyDescent="0.25">
      <c r="A43" s="34" t="s">
        <v>139</v>
      </c>
      <c r="B43" s="41" t="s">
        <v>140</v>
      </c>
      <c r="C43" s="34" t="s">
        <v>138</v>
      </c>
      <c r="D43" s="38">
        <v>25000</v>
      </c>
    </row>
    <row r="45" spans="1:5" x14ac:dyDescent="0.25">
      <c r="A45" s="34" t="s">
        <v>141</v>
      </c>
      <c r="B45" s="41" t="s">
        <v>142</v>
      </c>
      <c r="C45" s="34" t="s">
        <v>55</v>
      </c>
      <c r="D45" s="38">
        <v>15750</v>
      </c>
      <c r="E45" s="42"/>
    </row>
    <row r="46" spans="1:5" x14ac:dyDescent="0.25">
      <c r="A46" s="34" t="s">
        <v>143</v>
      </c>
      <c r="B46" s="41" t="s">
        <v>144</v>
      </c>
      <c r="C46" s="34" t="s">
        <v>60</v>
      </c>
      <c r="D46" s="38">
        <v>9370</v>
      </c>
      <c r="E46" s="42"/>
    </row>
    <row r="47" spans="1:5" x14ac:dyDescent="0.25">
      <c r="A47" s="34" t="s">
        <v>145</v>
      </c>
      <c r="B47" s="41" t="s">
        <v>146</v>
      </c>
      <c r="C47" s="34" t="s">
        <v>60</v>
      </c>
      <c r="D47" s="38">
        <v>10500</v>
      </c>
      <c r="E47" s="42"/>
    </row>
    <row r="48" spans="1:5" x14ac:dyDescent="0.25">
      <c r="A48" s="34" t="s">
        <v>147</v>
      </c>
      <c r="B48" s="41" t="s">
        <v>148</v>
      </c>
      <c r="C48" s="34" t="s">
        <v>65</v>
      </c>
      <c r="D48" s="38">
        <v>12250</v>
      </c>
      <c r="E48" s="42"/>
    </row>
    <row r="49" spans="1:5" x14ac:dyDescent="0.25">
      <c r="A49" s="34" t="s">
        <v>149</v>
      </c>
      <c r="B49" s="41" t="s">
        <v>150</v>
      </c>
      <c r="C49" s="34" t="s">
        <v>151</v>
      </c>
      <c r="D49" s="38">
        <v>25000</v>
      </c>
      <c r="E49" s="42"/>
    </row>
    <row r="50" spans="1:5" x14ac:dyDescent="0.25">
      <c r="A50" s="34" t="s">
        <v>152</v>
      </c>
      <c r="B50" s="41" t="s">
        <v>153</v>
      </c>
      <c r="C50" s="34" t="s">
        <v>151</v>
      </c>
      <c r="D50" s="38">
        <v>44100</v>
      </c>
      <c r="E50" s="42"/>
    </row>
    <row r="51" spans="1:5" x14ac:dyDescent="0.25">
      <c r="A51" s="34" t="s">
        <v>154</v>
      </c>
      <c r="B51" s="41" t="s">
        <v>155</v>
      </c>
      <c r="C51" s="34" t="s">
        <v>55</v>
      </c>
      <c r="D51" s="38">
        <v>37400</v>
      </c>
      <c r="E51" s="42"/>
    </row>
    <row r="53" spans="1:5" x14ac:dyDescent="0.25">
      <c r="A53" s="34" t="s">
        <v>156</v>
      </c>
      <c r="B53" s="41" t="s">
        <v>157</v>
      </c>
      <c r="C53" s="34" t="s">
        <v>158</v>
      </c>
      <c r="D53" s="38">
        <v>18900</v>
      </c>
    </row>
    <row r="54" spans="1:5" x14ac:dyDescent="0.25">
      <c r="A54" s="34" t="s">
        <v>159</v>
      </c>
      <c r="B54" s="41" t="s">
        <v>160</v>
      </c>
      <c r="C54" s="34" t="s">
        <v>58</v>
      </c>
      <c r="D54" s="38">
        <v>120000</v>
      </c>
    </row>
    <row r="55" spans="1:5" x14ac:dyDescent="0.25">
      <c r="A55" s="34" t="s">
        <v>161</v>
      </c>
      <c r="B55" s="41" t="s">
        <v>162</v>
      </c>
      <c r="C55" s="34" t="s">
        <v>158</v>
      </c>
      <c r="D55" s="38">
        <f>20781</f>
        <v>20781</v>
      </c>
    </row>
    <row r="56" spans="1:5" x14ac:dyDescent="0.25">
      <c r="A56" s="43"/>
      <c r="B56" s="44"/>
      <c r="C56" s="43"/>
      <c r="D56" s="45"/>
    </row>
    <row r="58" spans="1:5" x14ac:dyDescent="0.25">
      <c r="A58" s="34" t="s">
        <v>163</v>
      </c>
      <c r="B58" s="41" t="s">
        <v>164</v>
      </c>
      <c r="C58" s="34" t="s">
        <v>58</v>
      </c>
      <c r="D58" s="27">
        <v>616886</v>
      </c>
    </row>
    <row r="59" spans="1:5" x14ac:dyDescent="0.25">
      <c r="A59" s="34" t="s">
        <v>165</v>
      </c>
      <c r="B59" s="41" t="s">
        <v>166</v>
      </c>
      <c r="C59" s="34" t="s">
        <v>63</v>
      </c>
      <c r="D59" s="28">
        <v>15000</v>
      </c>
    </row>
    <row r="60" spans="1:5" x14ac:dyDescent="0.25">
      <c r="A60" s="34" t="s">
        <v>167</v>
      </c>
      <c r="B60" s="41" t="s">
        <v>168</v>
      </c>
      <c r="C60" s="34" t="s">
        <v>63</v>
      </c>
      <c r="D60" s="28">
        <v>9996</v>
      </c>
    </row>
    <row r="62" spans="1:5" ht="46.5" customHeight="1" x14ac:dyDescent="0.25">
      <c r="A62" s="34" t="s">
        <v>169</v>
      </c>
      <c r="B62" s="41" t="s">
        <v>170</v>
      </c>
      <c r="C62" s="34" t="s">
        <v>58</v>
      </c>
      <c r="D62" s="38">
        <v>894880</v>
      </c>
    </row>
    <row r="63" spans="1:5" ht="34.5" customHeight="1" x14ac:dyDescent="0.25">
      <c r="A63" s="47" t="s">
        <v>171</v>
      </c>
      <c r="B63" s="48" t="str">
        <f>B224</f>
        <v xml:space="preserve">Concreto 3000 PSI (f´c = 210 kg/cm²) </v>
      </c>
      <c r="C63" s="47" t="s">
        <v>172</v>
      </c>
      <c r="D63" s="49" t="e">
        <f>D224</f>
        <v>#REF!</v>
      </c>
    </row>
    <row r="65" spans="1:4" x14ac:dyDescent="0.25">
      <c r="A65" s="34" t="s">
        <v>173</v>
      </c>
      <c r="B65" s="41" t="s">
        <v>174</v>
      </c>
      <c r="C65" s="34" t="s">
        <v>62</v>
      </c>
      <c r="D65" s="38">
        <v>5250</v>
      </c>
    </row>
    <row r="67" spans="1:4" x14ac:dyDescent="0.25">
      <c r="A67" s="34" t="s">
        <v>175</v>
      </c>
      <c r="B67" s="41" t="s">
        <v>176</v>
      </c>
      <c r="C67" s="34" t="s">
        <v>62</v>
      </c>
      <c r="D67" s="38">
        <v>1150</v>
      </c>
    </row>
    <row r="69" spans="1:4" x14ac:dyDescent="0.25">
      <c r="A69" s="34" t="s">
        <v>177</v>
      </c>
      <c r="B69" s="41" t="s">
        <v>178</v>
      </c>
      <c r="C69" s="34" t="s">
        <v>58</v>
      </c>
      <c r="D69" s="38">
        <v>3150</v>
      </c>
    </row>
    <row r="70" spans="1:4" x14ac:dyDescent="0.25">
      <c r="A70" s="34" t="s">
        <v>179</v>
      </c>
      <c r="B70" s="41" t="s">
        <v>180</v>
      </c>
      <c r="C70" s="34" t="s">
        <v>181</v>
      </c>
      <c r="D70" s="38">
        <v>60571</v>
      </c>
    </row>
    <row r="71" spans="1:4" x14ac:dyDescent="0.25">
      <c r="A71" s="34" t="s">
        <v>182</v>
      </c>
      <c r="B71" s="41" t="s">
        <v>183</v>
      </c>
      <c r="C71" s="34" t="s">
        <v>62</v>
      </c>
      <c r="D71" s="38">
        <v>906</v>
      </c>
    </row>
    <row r="72" spans="1:4" x14ac:dyDescent="0.25">
      <c r="A72" s="34" t="s">
        <v>184</v>
      </c>
      <c r="B72" s="41" t="s">
        <v>185</v>
      </c>
      <c r="C72" s="34" t="s">
        <v>172</v>
      </c>
      <c r="D72" s="38">
        <f>D18</f>
        <v>35000</v>
      </c>
    </row>
    <row r="74" spans="1:4" x14ac:dyDescent="0.25">
      <c r="A74" s="34" t="s">
        <v>186</v>
      </c>
      <c r="B74" s="41" t="s">
        <v>187</v>
      </c>
      <c r="C74" s="34" t="s">
        <v>58</v>
      </c>
      <c r="D74" s="38">
        <v>8600</v>
      </c>
    </row>
    <row r="76" spans="1:4" ht="31.5" x14ac:dyDescent="0.25">
      <c r="A76" s="34" t="s">
        <v>188</v>
      </c>
      <c r="B76" s="41" t="s">
        <v>189</v>
      </c>
      <c r="C76" s="34" t="s">
        <v>58</v>
      </c>
      <c r="D76" s="38">
        <v>181178</v>
      </c>
    </row>
    <row r="77" spans="1:4" x14ac:dyDescent="0.25">
      <c r="A77" s="34" t="s">
        <v>190</v>
      </c>
      <c r="B77" s="41" t="s">
        <v>191</v>
      </c>
      <c r="C77" s="34" t="s">
        <v>58</v>
      </c>
      <c r="D77" s="38">
        <v>473</v>
      </c>
    </row>
    <row r="80" spans="1:4" x14ac:dyDescent="0.25">
      <c r="A80" s="34" t="s">
        <v>192</v>
      </c>
      <c r="B80" s="41" t="s">
        <v>193</v>
      </c>
      <c r="C80" s="34" t="s">
        <v>58</v>
      </c>
      <c r="D80" s="38">
        <v>14753</v>
      </c>
    </row>
    <row r="81" spans="1:4" x14ac:dyDescent="0.25">
      <c r="A81" s="34" t="s">
        <v>194</v>
      </c>
      <c r="B81" s="41" t="s">
        <v>195</v>
      </c>
      <c r="C81" s="34" t="s">
        <v>172</v>
      </c>
      <c r="D81" s="38">
        <v>56671</v>
      </c>
    </row>
    <row r="83" spans="1:4" ht="31.5" x14ac:dyDescent="0.25">
      <c r="A83" s="34" t="s">
        <v>196</v>
      </c>
      <c r="B83" s="41" t="s">
        <v>197</v>
      </c>
      <c r="C83" s="34" t="s">
        <v>58</v>
      </c>
      <c r="D83" s="38">
        <v>99960</v>
      </c>
    </row>
    <row r="85" spans="1:4" x14ac:dyDescent="0.25">
      <c r="A85" s="34" t="s">
        <v>198</v>
      </c>
      <c r="B85" s="41" t="s">
        <v>199</v>
      </c>
      <c r="C85" s="34" t="s">
        <v>58</v>
      </c>
      <c r="D85" s="38">
        <v>25051</v>
      </c>
    </row>
    <row r="87" spans="1:4" x14ac:dyDescent="0.25">
      <c r="A87" s="34" t="s">
        <v>200</v>
      </c>
      <c r="B87" s="41" t="s">
        <v>201</v>
      </c>
      <c r="C87" s="34" t="s">
        <v>58</v>
      </c>
      <c r="D87" s="38">
        <v>147788</v>
      </c>
    </row>
    <row r="88" spans="1:4" x14ac:dyDescent="0.25">
      <c r="A88" s="34" t="s">
        <v>202</v>
      </c>
      <c r="B88" s="41" t="s">
        <v>203</v>
      </c>
      <c r="C88" s="34" t="s">
        <v>58</v>
      </c>
      <c r="D88" s="38">
        <v>17063</v>
      </c>
    </row>
    <row r="89" spans="1:4" x14ac:dyDescent="0.25">
      <c r="A89" s="34" t="s">
        <v>204</v>
      </c>
      <c r="B89" s="41" t="s">
        <v>205</v>
      </c>
      <c r="C89" s="34" t="s">
        <v>206</v>
      </c>
      <c r="D89" s="38">
        <v>76178</v>
      </c>
    </row>
    <row r="91" spans="1:4" x14ac:dyDescent="0.25">
      <c r="A91" s="34" t="s">
        <v>207</v>
      </c>
      <c r="B91" s="41" t="s">
        <v>208</v>
      </c>
      <c r="C91" s="34" t="s">
        <v>58</v>
      </c>
      <c r="D91" s="38">
        <v>36981</v>
      </c>
    </row>
    <row r="92" spans="1:4" x14ac:dyDescent="0.25">
      <c r="A92" s="34" t="s">
        <v>209</v>
      </c>
      <c r="B92" s="41" t="s">
        <v>210</v>
      </c>
      <c r="C92" s="34" t="s">
        <v>58</v>
      </c>
      <c r="D92" s="38">
        <v>707822</v>
      </c>
    </row>
    <row r="94" spans="1:4" x14ac:dyDescent="0.25">
      <c r="A94" s="34" t="s">
        <v>211</v>
      </c>
      <c r="B94" s="41" t="s">
        <v>212</v>
      </c>
      <c r="C94" s="34" t="s">
        <v>213</v>
      </c>
      <c r="D94" s="38">
        <v>437325</v>
      </c>
    </row>
    <row r="96" spans="1:4" x14ac:dyDescent="0.25">
      <c r="A96" s="34" t="s">
        <v>214</v>
      </c>
      <c r="B96" s="41" t="s">
        <v>215</v>
      </c>
      <c r="C96" s="34" t="s">
        <v>216</v>
      </c>
      <c r="D96" s="38">
        <v>1261</v>
      </c>
    </row>
    <row r="98" spans="1:5" x14ac:dyDescent="0.25">
      <c r="A98" s="34" t="s">
        <v>217</v>
      </c>
      <c r="B98" s="41" t="s">
        <v>218</v>
      </c>
      <c r="C98" s="34" t="s">
        <v>58</v>
      </c>
      <c r="D98" s="38">
        <v>7500</v>
      </c>
      <c r="E98" s="42"/>
    </row>
    <row r="99" spans="1:5" ht="31.5" x14ac:dyDescent="0.25">
      <c r="A99" s="34" t="s">
        <v>219</v>
      </c>
      <c r="B99" s="41" t="s">
        <v>220</v>
      </c>
      <c r="C99" s="34" t="s">
        <v>58</v>
      </c>
      <c r="D99" s="38">
        <v>8500</v>
      </c>
      <c r="E99" s="42"/>
    </row>
    <row r="100" spans="1:5" x14ac:dyDescent="0.25">
      <c r="A100" s="34" t="s">
        <v>221</v>
      </c>
      <c r="B100" s="41" t="s">
        <v>222</v>
      </c>
      <c r="C100" s="34" t="s">
        <v>58</v>
      </c>
      <c r="D100" s="38">
        <v>7000</v>
      </c>
      <c r="E100" s="42"/>
    </row>
    <row r="102" spans="1:5" ht="31.5" x14ac:dyDescent="0.25">
      <c r="A102" s="34" t="s">
        <v>223</v>
      </c>
      <c r="B102" s="35" t="s">
        <v>224</v>
      </c>
      <c r="C102" s="34" t="s">
        <v>58</v>
      </c>
      <c r="D102" s="46">
        <f>780+80</f>
        <v>860</v>
      </c>
    </row>
    <row r="103" spans="1:5" ht="31.5" x14ac:dyDescent="0.25">
      <c r="A103" s="34" t="s">
        <v>225</v>
      </c>
      <c r="B103" s="41" t="s">
        <v>226</v>
      </c>
      <c r="C103" s="34" t="s">
        <v>58</v>
      </c>
      <c r="D103" s="38">
        <v>14000</v>
      </c>
    </row>
    <row r="104" spans="1:5" ht="31.5" x14ac:dyDescent="0.25">
      <c r="A104" s="34" t="s">
        <v>227</v>
      </c>
      <c r="B104" s="41" t="s">
        <v>228</v>
      </c>
      <c r="C104" s="34" t="s">
        <v>58</v>
      </c>
      <c r="D104" s="38">
        <v>15000</v>
      </c>
    </row>
    <row r="105" spans="1:5" x14ac:dyDescent="0.25">
      <c r="A105" s="34" t="s">
        <v>229</v>
      </c>
      <c r="B105" s="41" t="s">
        <v>552</v>
      </c>
      <c r="C105" s="34" t="s">
        <v>230</v>
      </c>
      <c r="D105" s="38">
        <v>60000</v>
      </c>
    </row>
    <row r="106" spans="1:5" s="50" customFormat="1" x14ac:dyDescent="0.25">
      <c r="A106" s="47"/>
      <c r="B106" s="48"/>
      <c r="C106" s="47"/>
      <c r="D106" s="49"/>
    </row>
    <row r="107" spans="1:5" x14ac:dyDescent="0.25">
      <c r="A107" s="34" t="s">
        <v>231</v>
      </c>
      <c r="B107" s="41" t="s">
        <v>232</v>
      </c>
      <c r="C107" s="34" t="s">
        <v>58</v>
      </c>
      <c r="D107" s="38">
        <v>900</v>
      </c>
    </row>
    <row r="108" spans="1:5" x14ac:dyDescent="0.25">
      <c r="A108" s="34" t="s">
        <v>233</v>
      </c>
      <c r="B108" s="41" t="s">
        <v>234</v>
      </c>
      <c r="C108" s="34" t="s">
        <v>235</v>
      </c>
      <c r="D108" s="38">
        <v>1980</v>
      </c>
    </row>
    <row r="109" spans="1:5" x14ac:dyDescent="0.25">
      <c r="A109" s="34" t="s">
        <v>236</v>
      </c>
      <c r="B109" s="41" t="s">
        <v>237</v>
      </c>
      <c r="C109" s="34" t="s">
        <v>238</v>
      </c>
      <c r="D109" s="38">
        <v>63139.1</v>
      </c>
    </row>
    <row r="110" spans="1:5" x14ac:dyDescent="0.25">
      <c r="A110" s="34" t="s">
        <v>239</v>
      </c>
      <c r="B110" s="41" t="s">
        <v>240</v>
      </c>
      <c r="C110" s="34" t="s">
        <v>241</v>
      </c>
      <c r="D110" s="38">
        <v>1482.6</v>
      </c>
    </row>
    <row r="112" spans="1:5" ht="47.25" x14ac:dyDescent="0.25">
      <c r="A112" s="34" t="s">
        <v>239</v>
      </c>
      <c r="B112" s="41" t="s">
        <v>242</v>
      </c>
      <c r="C112" s="34" t="s">
        <v>55</v>
      </c>
      <c r="D112" s="38">
        <v>425000</v>
      </c>
    </row>
    <row r="113" spans="1:4" x14ac:dyDescent="0.25">
      <c r="A113" s="34" t="s">
        <v>243</v>
      </c>
      <c r="B113" s="41" t="s">
        <v>244</v>
      </c>
      <c r="C113" s="34" t="s">
        <v>56</v>
      </c>
      <c r="D113" s="38">
        <v>5160</v>
      </c>
    </row>
    <row r="114" spans="1:4" x14ac:dyDescent="0.25">
      <c r="A114" s="34" t="s">
        <v>245</v>
      </c>
      <c r="B114" s="41" t="s">
        <v>246</v>
      </c>
      <c r="C114" s="34" t="s">
        <v>64</v>
      </c>
      <c r="D114" s="38">
        <v>6500</v>
      </c>
    </row>
    <row r="115" spans="1:4" x14ac:dyDescent="0.25">
      <c r="A115" s="34" t="s">
        <v>247</v>
      </c>
      <c r="B115" s="41" t="s">
        <v>248</v>
      </c>
      <c r="C115" s="34" t="s">
        <v>249</v>
      </c>
      <c r="D115" s="38">
        <v>38490</v>
      </c>
    </row>
    <row r="116" spans="1:4" x14ac:dyDescent="0.25">
      <c r="A116" s="34" t="s">
        <v>250</v>
      </c>
      <c r="B116" s="41" t="s">
        <v>251</v>
      </c>
      <c r="C116" s="34" t="s">
        <v>249</v>
      </c>
      <c r="D116" s="38">
        <v>35200</v>
      </c>
    </row>
    <row r="117" spans="1:4" x14ac:dyDescent="0.25">
      <c r="A117" s="34" t="s">
        <v>252</v>
      </c>
      <c r="B117" s="41" t="s">
        <v>253</v>
      </c>
      <c r="C117" s="34" t="s">
        <v>249</v>
      </c>
      <c r="D117" s="38">
        <v>55020</v>
      </c>
    </row>
    <row r="118" spans="1:4" x14ac:dyDescent="0.25">
      <c r="A118" s="34" t="s">
        <v>254</v>
      </c>
      <c r="B118" s="41" t="s">
        <v>255</v>
      </c>
      <c r="C118" s="34" t="s">
        <v>58</v>
      </c>
      <c r="D118" s="38">
        <v>50000</v>
      </c>
    </row>
    <row r="119" spans="1:4" x14ac:dyDescent="0.25">
      <c r="A119" s="34" t="s">
        <v>256</v>
      </c>
      <c r="B119" s="41" t="s">
        <v>257</v>
      </c>
      <c r="C119" s="34" t="s">
        <v>58</v>
      </c>
      <c r="D119" s="38">
        <v>60000</v>
      </c>
    </row>
    <row r="120" spans="1:4" x14ac:dyDescent="0.25">
      <c r="A120" s="34" t="s">
        <v>258</v>
      </c>
      <c r="B120" s="41" t="s">
        <v>259</v>
      </c>
      <c r="C120" s="34" t="s">
        <v>58</v>
      </c>
      <c r="D120" s="38">
        <v>365900</v>
      </c>
    </row>
    <row r="121" spans="1:4" x14ac:dyDescent="0.25">
      <c r="A121" s="34" t="s">
        <v>260</v>
      </c>
      <c r="B121" s="41" t="s">
        <v>261</v>
      </c>
      <c r="C121" s="34" t="s">
        <v>58</v>
      </c>
      <c r="D121" s="38">
        <v>14900</v>
      </c>
    </row>
    <row r="122" spans="1:4" ht="31.5" x14ac:dyDescent="0.25">
      <c r="A122" s="34" t="s">
        <v>262</v>
      </c>
      <c r="B122" s="41" t="s">
        <v>263</v>
      </c>
      <c r="C122" s="34" t="s">
        <v>58</v>
      </c>
      <c r="D122" s="38">
        <v>430000</v>
      </c>
    </row>
    <row r="123" spans="1:4" x14ac:dyDescent="0.25">
      <c r="A123" s="34" t="s">
        <v>264</v>
      </c>
      <c r="B123" s="41" t="s">
        <v>265</v>
      </c>
      <c r="C123" s="34" t="s">
        <v>65</v>
      </c>
      <c r="D123" s="38">
        <v>2644</v>
      </c>
    </row>
    <row r="124" spans="1:4" x14ac:dyDescent="0.25">
      <c r="A124" s="34" t="s">
        <v>266</v>
      </c>
      <c r="B124" s="41" t="s">
        <v>267</v>
      </c>
      <c r="C124" s="34" t="s">
        <v>58</v>
      </c>
      <c r="D124" s="38">
        <v>15900</v>
      </c>
    </row>
    <row r="125" spans="1:4" x14ac:dyDescent="0.25">
      <c r="A125" s="34" t="s">
        <v>268</v>
      </c>
      <c r="B125" s="41" t="s">
        <v>269</v>
      </c>
      <c r="C125" s="34" t="s">
        <v>58</v>
      </c>
      <c r="D125" s="38">
        <v>34900</v>
      </c>
    </row>
    <row r="126" spans="1:4" ht="31.5" x14ac:dyDescent="0.25">
      <c r="A126" s="34" t="s">
        <v>270</v>
      </c>
      <c r="B126" s="41" t="s">
        <v>271</v>
      </c>
      <c r="C126" s="34" t="s">
        <v>636</v>
      </c>
      <c r="D126" s="38">
        <v>400000</v>
      </c>
    </row>
    <row r="127" spans="1:4" ht="31.5" x14ac:dyDescent="0.25">
      <c r="A127" s="34" t="s">
        <v>272</v>
      </c>
      <c r="B127" s="41" t="s">
        <v>273</v>
      </c>
      <c r="C127" s="34" t="s">
        <v>274</v>
      </c>
      <c r="D127" s="38">
        <v>700000</v>
      </c>
    </row>
    <row r="128" spans="1:4" ht="16.5" x14ac:dyDescent="0.25">
      <c r="A128" s="34" t="s">
        <v>275</v>
      </c>
      <c r="B128" s="51" t="s">
        <v>276</v>
      </c>
      <c r="C128" s="29" t="s">
        <v>65</v>
      </c>
      <c r="D128" s="30">
        <v>5085</v>
      </c>
    </row>
    <row r="129" spans="1:7" x14ac:dyDescent="0.25">
      <c r="A129" s="34" t="s">
        <v>277</v>
      </c>
      <c r="B129" s="61" t="s">
        <v>278</v>
      </c>
      <c r="C129" s="34" t="s">
        <v>55</v>
      </c>
      <c r="D129" s="38">
        <v>21941</v>
      </c>
    </row>
    <row r="130" spans="1:7" x14ac:dyDescent="0.25">
      <c r="A130" s="34" t="s">
        <v>279</v>
      </c>
      <c r="B130" s="41" t="s">
        <v>280</v>
      </c>
      <c r="C130" s="34" t="s">
        <v>55</v>
      </c>
      <c r="D130" s="38">
        <v>15767</v>
      </c>
    </row>
    <row r="131" spans="1:7" x14ac:dyDescent="0.25">
      <c r="A131" s="34" t="s">
        <v>281</v>
      </c>
      <c r="B131" s="41" t="s">
        <v>282</v>
      </c>
      <c r="C131" s="34" t="s">
        <v>55</v>
      </c>
      <c r="D131" s="38">
        <v>22810</v>
      </c>
    </row>
    <row r="132" spans="1:7" x14ac:dyDescent="0.25">
      <c r="A132" s="34" t="s">
        <v>283</v>
      </c>
      <c r="B132" s="41" t="s">
        <v>284</v>
      </c>
      <c r="C132" s="34" t="s">
        <v>158</v>
      </c>
      <c r="D132" s="38">
        <v>38257.33</v>
      </c>
    </row>
    <row r="133" spans="1:7" ht="31.5" x14ac:dyDescent="0.25">
      <c r="A133" s="34" t="s">
        <v>285</v>
      </c>
      <c r="B133" s="41" t="s">
        <v>286</v>
      </c>
      <c r="C133" s="34" t="s">
        <v>55</v>
      </c>
      <c r="D133" s="38">
        <v>4256</v>
      </c>
    </row>
    <row r="134" spans="1:7" x14ac:dyDescent="0.25">
      <c r="A134" s="47" t="s">
        <v>287</v>
      </c>
      <c r="B134" s="48" t="s">
        <v>288</v>
      </c>
      <c r="C134" s="47" t="s">
        <v>57</v>
      </c>
      <c r="D134" s="68">
        <f>(305000*1.19)+30000+10000</f>
        <v>402950</v>
      </c>
    </row>
    <row r="135" spans="1:7" x14ac:dyDescent="0.25">
      <c r="A135" s="34" t="s">
        <v>289</v>
      </c>
      <c r="B135" s="41" t="s">
        <v>290</v>
      </c>
      <c r="C135" s="34" t="s">
        <v>230</v>
      </c>
      <c r="D135" s="38">
        <v>30000</v>
      </c>
    </row>
    <row r="136" spans="1:7" x14ac:dyDescent="0.25">
      <c r="A136" s="34" t="s">
        <v>291</v>
      </c>
      <c r="B136" s="41" t="s">
        <v>292</v>
      </c>
      <c r="C136" s="34" t="s">
        <v>55</v>
      </c>
      <c r="D136" s="38">
        <v>8000</v>
      </c>
    </row>
    <row r="137" spans="1:7" x14ac:dyDescent="0.25">
      <c r="A137" s="34" t="s">
        <v>293</v>
      </c>
      <c r="B137" s="41" t="s">
        <v>294</v>
      </c>
      <c r="C137" s="34" t="s">
        <v>58</v>
      </c>
      <c r="D137" s="38">
        <v>144000</v>
      </c>
    </row>
    <row r="138" spans="1:7" x14ac:dyDescent="0.25">
      <c r="A138" s="34" t="s">
        <v>295</v>
      </c>
      <c r="B138" s="41" t="s">
        <v>296</v>
      </c>
      <c r="C138" s="34" t="s">
        <v>65</v>
      </c>
      <c r="D138" s="38">
        <v>4300</v>
      </c>
    </row>
    <row r="139" spans="1:7" x14ac:dyDescent="0.25">
      <c r="A139" s="34" t="s">
        <v>297</v>
      </c>
      <c r="B139" s="41" t="s">
        <v>298</v>
      </c>
      <c r="C139" s="34" t="s">
        <v>58</v>
      </c>
      <c r="D139" s="38">
        <v>177900</v>
      </c>
    </row>
    <row r="140" spans="1:7" x14ac:dyDescent="0.25">
      <c r="A140" s="34" t="s">
        <v>299</v>
      </c>
      <c r="B140" s="41" t="s">
        <v>300</v>
      </c>
      <c r="C140" s="34" t="s">
        <v>64</v>
      </c>
      <c r="D140" s="38">
        <v>8900</v>
      </c>
    </row>
    <row r="141" spans="1:7" x14ac:dyDescent="0.25">
      <c r="A141" s="34" t="s">
        <v>301</v>
      </c>
      <c r="B141" s="41" t="s">
        <v>302</v>
      </c>
      <c r="C141" s="34" t="s">
        <v>55</v>
      </c>
      <c r="D141" s="38">
        <v>47600</v>
      </c>
      <c r="F141" s="41"/>
      <c r="G141" s="34"/>
    </row>
    <row r="142" spans="1:7" x14ac:dyDescent="0.25">
      <c r="A142" s="34" t="s">
        <v>303</v>
      </c>
      <c r="B142" s="41" t="s">
        <v>304</v>
      </c>
      <c r="C142" s="34" t="s">
        <v>636</v>
      </c>
      <c r="D142" s="38">
        <v>16900</v>
      </c>
      <c r="F142" s="41"/>
      <c r="G142" s="34"/>
    </row>
    <row r="143" spans="1:7" x14ac:dyDescent="0.25">
      <c r="A143" s="34" t="s">
        <v>305</v>
      </c>
      <c r="B143" s="41" t="s">
        <v>306</v>
      </c>
      <c r="C143" s="34" t="s">
        <v>636</v>
      </c>
      <c r="D143" s="38">
        <v>16900</v>
      </c>
      <c r="F143" s="41"/>
      <c r="G143" s="34"/>
    </row>
    <row r="144" spans="1:7" x14ac:dyDescent="0.25">
      <c r="A144" s="34" t="s">
        <v>307</v>
      </c>
      <c r="B144" s="41" t="s">
        <v>308</v>
      </c>
      <c r="C144" s="34" t="s">
        <v>638</v>
      </c>
      <c r="D144" s="38">
        <v>1500</v>
      </c>
      <c r="F144" s="41"/>
      <c r="G144" s="34"/>
    </row>
    <row r="145" spans="1:7" x14ac:dyDescent="0.25">
      <c r="A145" s="34" t="s">
        <v>310</v>
      </c>
      <c r="B145" s="41" t="s">
        <v>311</v>
      </c>
      <c r="C145" s="34" t="s">
        <v>312</v>
      </c>
      <c r="D145" s="38">
        <v>86900</v>
      </c>
      <c r="F145" s="41"/>
      <c r="G145" s="34"/>
    </row>
    <row r="146" spans="1:7" x14ac:dyDescent="0.25">
      <c r="A146" s="34" t="s">
        <v>313</v>
      </c>
      <c r="B146" s="41" t="s">
        <v>314</v>
      </c>
      <c r="C146" s="34" t="s">
        <v>309</v>
      </c>
      <c r="D146" s="38">
        <v>1500</v>
      </c>
      <c r="F146" s="41"/>
      <c r="G146" s="34"/>
    </row>
    <row r="147" spans="1:7" x14ac:dyDescent="0.25">
      <c r="A147" s="34" t="s">
        <v>315</v>
      </c>
      <c r="B147" s="41" t="s">
        <v>316</v>
      </c>
      <c r="C147" s="34" t="s">
        <v>622</v>
      </c>
      <c r="D147" s="38">
        <v>15</v>
      </c>
      <c r="F147" s="41"/>
      <c r="G147" s="34"/>
    </row>
    <row r="148" spans="1:7" x14ac:dyDescent="0.25">
      <c r="A148" s="34" t="s">
        <v>317</v>
      </c>
      <c r="B148" s="41" t="s">
        <v>318</v>
      </c>
      <c r="C148" s="34" t="s">
        <v>312</v>
      </c>
      <c r="D148" s="38">
        <v>11700</v>
      </c>
      <c r="F148" s="41"/>
      <c r="G148" s="34"/>
    </row>
    <row r="149" spans="1:7" x14ac:dyDescent="0.25">
      <c r="A149" s="34" t="s">
        <v>319</v>
      </c>
      <c r="B149" s="41" t="s">
        <v>320</v>
      </c>
      <c r="C149" s="34" t="s">
        <v>55</v>
      </c>
      <c r="D149" s="38">
        <v>81482.64</v>
      </c>
      <c r="F149" s="41"/>
      <c r="G149" s="34"/>
    </row>
    <row r="150" spans="1:7" x14ac:dyDescent="0.25">
      <c r="A150" s="47" t="s">
        <v>321</v>
      </c>
      <c r="B150" s="48" t="s">
        <v>634</v>
      </c>
      <c r="C150" s="47" t="s">
        <v>65</v>
      </c>
      <c r="D150" s="49">
        <v>500</v>
      </c>
      <c r="F150" s="41"/>
      <c r="G150" s="34"/>
    </row>
    <row r="151" spans="1:7" x14ac:dyDescent="0.25">
      <c r="A151" s="34" t="s">
        <v>322</v>
      </c>
      <c r="B151" s="41" t="s">
        <v>323</v>
      </c>
      <c r="C151" s="34" t="s">
        <v>54</v>
      </c>
      <c r="D151" s="38">
        <v>4341.8999999999996</v>
      </c>
      <c r="F151" s="41"/>
      <c r="G151" s="34"/>
    </row>
    <row r="152" spans="1:7" x14ac:dyDescent="0.25">
      <c r="A152" s="34" t="s">
        <v>324</v>
      </c>
      <c r="B152" s="41" t="s">
        <v>325</v>
      </c>
      <c r="C152" s="34" t="s">
        <v>54</v>
      </c>
      <c r="D152" s="38">
        <v>24691.64</v>
      </c>
      <c r="F152" s="41"/>
      <c r="G152" s="34"/>
    </row>
    <row r="153" spans="1:7" x14ac:dyDescent="0.25">
      <c r="A153" s="34" t="s">
        <v>326</v>
      </c>
      <c r="B153" s="41" t="s">
        <v>327</v>
      </c>
      <c r="C153" s="34" t="s">
        <v>328</v>
      </c>
      <c r="D153" s="38">
        <v>10590</v>
      </c>
      <c r="F153" s="41"/>
      <c r="G153" s="34"/>
    </row>
    <row r="154" spans="1:7" x14ac:dyDescent="0.25">
      <c r="A154" s="34" t="s">
        <v>329</v>
      </c>
      <c r="B154" s="41" t="s">
        <v>330</v>
      </c>
      <c r="C154" s="34" t="s">
        <v>54</v>
      </c>
      <c r="D154" s="38">
        <v>79886.720000000001</v>
      </c>
      <c r="F154" s="41"/>
      <c r="G154" s="34"/>
    </row>
    <row r="155" spans="1:7" x14ac:dyDescent="0.25">
      <c r="A155" s="34" t="s">
        <v>331</v>
      </c>
      <c r="B155" s="41" t="s">
        <v>332</v>
      </c>
      <c r="C155" s="34" t="s">
        <v>328</v>
      </c>
      <c r="D155" s="38">
        <v>10590</v>
      </c>
      <c r="F155" s="41"/>
      <c r="G155" s="34"/>
    </row>
    <row r="156" spans="1:7" x14ac:dyDescent="0.25">
      <c r="A156" s="34" t="s">
        <v>333</v>
      </c>
      <c r="B156" s="41" t="s">
        <v>334</v>
      </c>
      <c r="C156" s="34" t="s">
        <v>54</v>
      </c>
      <c r="D156" s="38">
        <v>3500</v>
      </c>
      <c r="F156" s="41"/>
      <c r="G156" s="34"/>
    </row>
    <row r="157" spans="1:7" x14ac:dyDescent="0.25">
      <c r="A157" s="34" t="s">
        <v>335</v>
      </c>
      <c r="B157" s="41" t="s">
        <v>336</v>
      </c>
      <c r="C157" s="34" t="s">
        <v>636</v>
      </c>
      <c r="D157" s="38">
        <v>1000</v>
      </c>
      <c r="F157" s="41"/>
      <c r="G157" s="34"/>
    </row>
    <row r="158" spans="1:7" x14ac:dyDescent="0.25">
      <c r="A158" s="34" t="s">
        <v>337</v>
      </c>
      <c r="B158" s="41" t="s">
        <v>338</v>
      </c>
      <c r="C158" s="34" t="s">
        <v>54</v>
      </c>
      <c r="D158" s="38">
        <v>100</v>
      </c>
      <c r="F158" s="41"/>
      <c r="G158" s="34"/>
    </row>
    <row r="159" spans="1:7" x14ac:dyDescent="0.25">
      <c r="A159" s="34" t="s">
        <v>339</v>
      </c>
      <c r="B159" s="41" t="s">
        <v>340</v>
      </c>
      <c r="C159" s="34" t="s">
        <v>636</v>
      </c>
      <c r="D159" s="38">
        <v>6150</v>
      </c>
      <c r="F159" s="41"/>
      <c r="G159" s="34"/>
    </row>
    <row r="160" spans="1:7" x14ac:dyDescent="0.25">
      <c r="A160" s="34" t="s">
        <v>341</v>
      </c>
      <c r="B160" s="41" t="s">
        <v>342</v>
      </c>
      <c r="C160" s="34" t="s">
        <v>636</v>
      </c>
      <c r="D160" s="38">
        <v>1000</v>
      </c>
      <c r="F160" s="41"/>
      <c r="G160" s="34"/>
    </row>
    <row r="161" spans="1:7" x14ac:dyDescent="0.25">
      <c r="A161" s="34" t="s">
        <v>343</v>
      </c>
      <c r="B161" s="41" t="s">
        <v>344</v>
      </c>
      <c r="C161" s="34" t="s">
        <v>636</v>
      </c>
      <c r="D161" s="38">
        <v>7000</v>
      </c>
      <c r="F161" s="41"/>
      <c r="G161" s="34"/>
    </row>
    <row r="162" spans="1:7" x14ac:dyDescent="0.25">
      <c r="A162" s="34" t="s">
        <v>345</v>
      </c>
      <c r="B162" s="41" t="s">
        <v>346</v>
      </c>
      <c r="C162" s="34" t="s">
        <v>636</v>
      </c>
      <c r="D162" s="38">
        <v>2600</v>
      </c>
      <c r="F162" s="41"/>
      <c r="G162" s="34"/>
    </row>
    <row r="163" spans="1:7" x14ac:dyDescent="0.25">
      <c r="A163" s="34" t="s">
        <v>347</v>
      </c>
      <c r="B163" s="41" t="s">
        <v>348</v>
      </c>
      <c r="C163" s="34" t="s">
        <v>636</v>
      </c>
      <c r="D163" s="38">
        <v>6800</v>
      </c>
      <c r="F163" s="41"/>
      <c r="G163" s="34"/>
    </row>
    <row r="164" spans="1:7" x14ac:dyDescent="0.25">
      <c r="A164" s="34" t="s">
        <v>349</v>
      </c>
      <c r="B164" s="41" t="s">
        <v>350</v>
      </c>
      <c r="C164" s="34" t="s">
        <v>636</v>
      </c>
      <c r="D164" s="38">
        <v>11500</v>
      </c>
      <c r="F164" s="41"/>
      <c r="G164" s="34"/>
    </row>
    <row r="165" spans="1:7" x14ac:dyDescent="0.25">
      <c r="A165" s="34" t="s">
        <v>351</v>
      </c>
      <c r="B165" s="41" t="s">
        <v>352</v>
      </c>
      <c r="C165" s="34" t="s">
        <v>54</v>
      </c>
      <c r="D165" s="38">
        <v>1500</v>
      </c>
      <c r="F165" s="41"/>
      <c r="G165" s="34"/>
    </row>
    <row r="166" spans="1:7" x14ac:dyDescent="0.25">
      <c r="A166" s="34" t="s">
        <v>353</v>
      </c>
      <c r="B166" s="41" t="s">
        <v>354</v>
      </c>
      <c r="C166" s="34" t="s">
        <v>54</v>
      </c>
      <c r="D166" s="38">
        <v>8500</v>
      </c>
      <c r="F166" s="41"/>
      <c r="G166" s="34"/>
    </row>
    <row r="167" spans="1:7" x14ac:dyDescent="0.25">
      <c r="A167" s="34" t="s">
        <v>355</v>
      </c>
      <c r="B167" s="41" t="s">
        <v>356</v>
      </c>
      <c r="C167" s="34" t="s">
        <v>55</v>
      </c>
      <c r="D167" s="38">
        <v>24500</v>
      </c>
      <c r="F167" s="41"/>
      <c r="G167" s="34"/>
    </row>
    <row r="168" spans="1:7" x14ac:dyDescent="0.25">
      <c r="A168" s="34" t="s">
        <v>357</v>
      </c>
      <c r="B168" s="41" t="s">
        <v>358</v>
      </c>
      <c r="C168" s="34" t="s">
        <v>309</v>
      </c>
      <c r="D168" s="38">
        <v>2000</v>
      </c>
      <c r="F168" s="41"/>
      <c r="G168" s="34"/>
    </row>
    <row r="169" spans="1:7" x14ac:dyDescent="0.25">
      <c r="A169" s="34" t="s">
        <v>359</v>
      </c>
      <c r="B169" s="41" t="s">
        <v>360</v>
      </c>
      <c r="C169" s="34" t="s">
        <v>55</v>
      </c>
      <c r="D169" s="38">
        <v>38518.519999999997</v>
      </c>
      <c r="F169" s="41"/>
      <c r="G169" s="34"/>
    </row>
    <row r="170" spans="1:7" x14ac:dyDescent="0.25">
      <c r="A170" s="34" t="s">
        <v>361</v>
      </c>
      <c r="B170" s="41" t="s">
        <v>362</v>
      </c>
      <c r="C170" s="34" t="s">
        <v>638</v>
      </c>
      <c r="D170" s="38">
        <v>1000</v>
      </c>
      <c r="F170" s="41"/>
      <c r="G170" s="34"/>
    </row>
    <row r="171" spans="1:7" ht="47.25" x14ac:dyDescent="0.25">
      <c r="A171" s="34" t="s">
        <v>363</v>
      </c>
      <c r="B171" s="41" t="s">
        <v>364</v>
      </c>
      <c r="C171" s="34" t="s">
        <v>636</v>
      </c>
      <c r="D171" s="38">
        <v>40894.78</v>
      </c>
    </row>
    <row r="172" spans="1:7" ht="31.5" x14ac:dyDescent="0.25">
      <c r="A172" s="34" t="s">
        <v>365</v>
      </c>
      <c r="B172" s="41" t="s">
        <v>366</v>
      </c>
      <c r="C172" s="34" t="s">
        <v>367</v>
      </c>
      <c r="D172" s="38">
        <v>464136</v>
      </c>
    </row>
    <row r="173" spans="1:7" ht="31.5" x14ac:dyDescent="0.25">
      <c r="A173" s="34" t="s">
        <v>368</v>
      </c>
      <c r="B173" s="41" t="s">
        <v>369</v>
      </c>
      <c r="C173" s="34" t="s">
        <v>367</v>
      </c>
      <c r="D173" s="38">
        <v>169698.76</v>
      </c>
    </row>
    <row r="174" spans="1:7" ht="31.5" x14ac:dyDescent="0.25">
      <c r="A174" s="34" t="s">
        <v>370</v>
      </c>
      <c r="B174" s="41" t="s">
        <v>371</v>
      </c>
      <c r="C174" s="34" t="s">
        <v>367</v>
      </c>
      <c r="D174" s="38">
        <v>414300.88</v>
      </c>
    </row>
    <row r="175" spans="1:7" ht="31.5" x14ac:dyDescent="0.25">
      <c r="A175" s="34" t="s">
        <v>372</v>
      </c>
      <c r="B175" s="41" t="s">
        <v>373</v>
      </c>
      <c r="C175" s="34" t="s">
        <v>367</v>
      </c>
      <c r="D175" s="38">
        <v>741998.32</v>
      </c>
    </row>
    <row r="176" spans="1:7" x14ac:dyDescent="0.25">
      <c r="A176" s="34" t="s">
        <v>374</v>
      </c>
      <c r="B176" s="41" t="s">
        <v>375</v>
      </c>
      <c r="C176" s="34" t="s">
        <v>274</v>
      </c>
      <c r="D176" s="38">
        <v>1749.72</v>
      </c>
    </row>
    <row r="177" spans="1:4" x14ac:dyDescent="0.25">
      <c r="A177" s="34" t="s">
        <v>376</v>
      </c>
      <c r="B177" s="41" t="s">
        <v>377</v>
      </c>
      <c r="C177" s="34" t="s">
        <v>378</v>
      </c>
      <c r="D177" s="38">
        <v>28000</v>
      </c>
    </row>
    <row r="178" spans="1:4" x14ac:dyDescent="0.25">
      <c r="A178" s="34" t="s">
        <v>379</v>
      </c>
      <c r="B178" s="41" t="s">
        <v>380</v>
      </c>
      <c r="C178" s="34" t="s">
        <v>378</v>
      </c>
      <c r="D178" s="38">
        <v>75700</v>
      </c>
    </row>
    <row r="179" spans="1:4" x14ac:dyDescent="0.25">
      <c r="A179" s="34" t="s">
        <v>381</v>
      </c>
      <c r="B179" s="41" t="s">
        <v>382</v>
      </c>
      <c r="C179" s="34" t="s">
        <v>64</v>
      </c>
      <c r="D179" s="38">
        <v>6500</v>
      </c>
    </row>
    <row r="180" spans="1:4" x14ac:dyDescent="0.25">
      <c r="A180" s="34" t="s">
        <v>383</v>
      </c>
      <c r="B180" s="41" t="s">
        <v>384</v>
      </c>
      <c r="C180" s="34" t="s">
        <v>378</v>
      </c>
      <c r="D180" s="38">
        <v>66900</v>
      </c>
    </row>
    <row r="181" spans="1:4" x14ac:dyDescent="0.25">
      <c r="A181" s="34" t="s">
        <v>385</v>
      </c>
      <c r="B181" s="41" t="s">
        <v>386</v>
      </c>
      <c r="C181" s="34" t="s">
        <v>59</v>
      </c>
      <c r="D181" s="38">
        <v>16433</v>
      </c>
    </row>
    <row r="182" spans="1:4" ht="31.5" x14ac:dyDescent="0.25">
      <c r="A182" s="34" t="s">
        <v>387</v>
      </c>
      <c r="B182" s="41" t="s">
        <v>388</v>
      </c>
      <c r="C182" s="34" t="s">
        <v>389</v>
      </c>
      <c r="D182" s="38">
        <v>92300</v>
      </c>
    </row>
    <row r="183" spans="1:4" x14ac:dyDescent="0.25">
      <c r="A183" s="34" t="s">
        <v>390</v>
      </c>
      <c r="B183" s="41" t="s">
        <v>391</v>
      </c>
      <c r="C183" s="34" t="s">
        <v>578</v>
      </c>
      <c r="D183" s="38">
        <v>1783</v>
      </c>
    </row>
    <row r="184" spans="1:4" x14ac:dyDescent="0.25">
      <c r="A184" s="47" t="s">
        <v>392</v>
      </c>
      <c r="B184" s="48" t="s">
        <v>710</v>
      </c>
      <c r="C184" s="47" t="s">
        <v>172</v>
      </c>
      <c r="D184" s="49">
        <v>524514.87108951597</v>
      </c>
    </row>
    <row r="185" spans="1:4" x14ac:dyDescent="0.25">
      <c r="A185" s="47" t="s">
        <v>620</v>
      </c>
      <c r="B185" s="48" t="s">
        <v>316</v>
      </c>
      <c r="C185" s="47" t="s">
        <v>621</v>
      </c>
      <c r="D185" s="49">
        <v>200</v>
      </c>
    </row>
    <row r="186" spans="1:4" x14ac:dyDescent="0.25">
      <c r="A186" s="34" t="s">
        <v>393</v>
      </c>
      <c r="B186" s="41" t="s">
        <v>394</v>
      </c>
      <c r="C186" s="34" t="s">
        <v>638</v>
      </c>
      <c r="D186" s="38">
        <v>893</v>
      </c>
    </row>
    <row r="187" spans="1:4" x14ac:dyDescent="0.25">
      <c r="A187" s="34" t="s">
        <v>395</v>
      </c>
      <c r="B187" s="41" t="s">
        <v>396</v>
      </c>
      <c r="C187" s="34" t="s">
        <v>578</v>
      </c>
      <c r="D187" s="38">
        <v>1850</v>
      </c>
    </row>
    <row r="188" spans="1:4" x14ac:dyDescent="0.25">
      <c r="A188" s="34" t="s">
        <v>397</v>
      </c>
      <c r="B188" s="41" t="s">
        <v>398</v>
      </c>
      <c r="C188" s="34" t="s">
        <v>399</v>
      </c>
      <c r="D188" s="38">
        <v>3460</v>
      </c>
    </row>
    <row r="189" spans="1:4" x14ac:dyDescent="0.25">
      <c r="A189" s="34" t="s">
        <v>400</v>
      </c>
      <c r="B189" s="41" t="s">
        <v>401</v>
      </c>
      <c r="C189" s="34" t="s">
        <v>578</v>
      </c>
      <c r="D189" s="38">
        <v>21000</v>
      </c>
    </row>
    <row r="190" spans="1:4" x14ac:dyDescent="0.25">
      <c r="A190" s="34" t="s">
        <v>402</v>
      </c>
      <c r="B190" s="41" t="s">
        <v>403</v>
      </c>
      <c r="C190" s="34" t="s">
        <v>578</v>
      </c>
      <c r="D190" s="38">
        <v>29242</v>
      </c>
    </row>
    <row r="191" spans="1:4" x14ac:dyDescent="0.25">
      <c r="A191" s="34" t="s">
        <v>404</v>
      </c>
      <c r="B191" s="41" t="s">
        <v>405</v>
      </c>
      <c r="C191" s="34" t="s">
        <v>578</v>
      </c>
      <c r="D191" s="38">
        <v>6496</v>
      </c>
    </row>
    <row r="192" spans="1:4" x14ac:dyDescent="0.25">
      <c r="A192" s="34" t="s">
        <v>406</v>
      </c>
      <c r="B192" s="41" t="s">
        <v>407</v>
      </c>
      <c r="C192" s="34" t="s">
        <v>249</v>
      </c>
      <c r="D192" s="38">
        <v>65000</v>
      </c>
    </row>
    <row r="193" spans="1:4" x14ac:dyDescent="0.25">
      <c r="A193" s="34" t="s">
        <v>408</v>
      </c>
      <c r="B193" s="41" t="s">
        <v>409</v>
      </c>
      <c r="C193" s="34" t="s">
        <v>399</v>
      </c>
      <c r="D193" s="38">
        <v>2450</v>
      </c>
    </row>
    <row r="194" spans="1:4" x14ac:dyDescent="0.25">
      <c r="A194" s="34" t="s">
        <v>410</v>
      </c>
      <c r="B194" s="41" t="s">
        <v>411</v>
      </c>
      <c r="C194" s="34" t="s">
        <v>578</v>
      </c>
      <c r="D194" s="38">
        <v>1100</v>
      </c>
    </row>
    <row r="195" spans="1:4" x14ac:dyDescent="0.25">
      <c r="A195" s="34" t="s">
        <v>412</v>
      </c>
      <c r="B195" s="41" t="s">
        <v>413</v>
      </c>
      <c r="C195" s="34" t="s">
        <v>639</v>
      </c>
      <c r="D195" s="38">
        <v>3929</v>
      </c>
    </row>
    <row r="196" spans="1:4" x14ac:dyDescent="0.25">
      <c r="A196" s="34" t="s">
        <v>414</v>
      </c>
      <c r="B196" s="41" t="s">
        <v>415</v>
      </c>
      <c r="C196" s="34" t="s">
        <v>578</v>
      </c>
      <c r="D196" s="38">
        <v>3000</v>
      </c>
    </row>
    <row r="197" spans="1:4" x14ac:dyDescent="0.25">
      <c r="A197" s="34" t="s">
        <v>416</v>
      </c>
      <c r="B197" s="41" t="s">
        <v>417</v>
      </c>
      <c r="C197" s="34" t="s">
        <v>644</v>
      </c>
      <c r="D197" s="38">
        <v>215000</v>
      </c>
    </row>
    <row r="198" spans="1:4" x14ac:dyDescent="0.25">
      <c r="A198" s="34" t="s">
        <v>418</v>
      </c>
      <c r="B198" s="41" t="s">
        <v>398</v>
      </c>
      <c r="C198" s="34" t="s">
        <v>643</v>
      </c>
      <c r="D198" s="38">
        <v>3460</v>
      </c>
    </row>
    <row r="199" spans="1:4" x14ac:dyDescent="0.25">
      <c r="A199" s="34" t="s">
        <v>419</v>
      </c>
      <c r="B199" s="41" t="s">
        <v>420</v>
      </c>
      <c r="C199" s="34" t="s">
        <v>638</v>
      </c>
      <c r="D199" s="38">
        <v>3800000</v>
      </c>
    </row>
    <row r="200" spans="1:4" x14ac:dyDescent="0.25">
      <c r="A200" s="34" t="s">
        <v>421</v>
      </c>
      <c r="B200" s="41" t="s">
        <v>422</v>
      </c>
      <c r="C200" s="34" t="s">
        <v>578</v>
      </c>
      <c r="D200" s="38">
        <v>993200</v>
      </c>
    </row>
    <row r="201" spans="1:4" x14ac:dyDescent="0.25">
      <c r="A201" s="34" t="s">
        <v>423</v>
      </c>
      <c r="B201" s="41" t="s">
        <v>424</v>
      </c>
      <c r="C201" s="34" t="s">
        <v>578</v>
      </c>
      <c r="D201" s="38">
        <v>4450</v>
      </c>
    </row>
    <row r="202" spans="1:4" x14ac:dyDescent="0.25">
      <c r="A202" s="34" t="s">
        <v>425</v>
      </c>
      <c r="B202" s="41" t="s">
        <v>426</v>
      </c>
      <c r="C202" s="34" t="s">
        <v>578</v>
      </c>
      <c r="D202" s="38">
        <v>18838.099999999999</v>
      </c>
    </row>
    <row r="203" spans="1:4" x14ac:dyDescent="0.25">
      <c r="A203" s="34" t="s">
        <v>427</v>
      </c>
      <c r="B203" s="41" t="s">
        <v>428</v>
      </c>
      <c r="C203" s="34" t="s">
        <v>578</v>
      </c>
      <c r="D203" s="38">
        <v>16720.099999999999</v>
      </c>
    </row>
    <row r="204" spans="1:4" x14ac:dyDescent="0.25">
      <c r="A204" s="34" t="s">
        <v>429</v>
      </c>
      <c r="B204" s="41" t="s">
        <v>430</v>
      </c>
      <c r="C204" s="34" t="s">
        <v>578</v>
      </c>
      <c r="D204" s="38">
        <v>58021.1</v>
      </c>
    </row>
    <row r="205" spans="1:4" x14ac:dyDescent="0.25">
      <c r="A205" s="34" t="s">
        <v>431</v>
      </c>
      <c r="B205" s="41" t="s">
        <v>432</v>
      </c>
      <c r="C205" s="34" t="s">
        <v>578</v>
      </c>
      <c r="D205" s="38">
        <v>10413</v>
      </c>
    </row>
    <row r="206" spans="1:4" x14ac:dyDescent="0.25">
      <c r="A206" s="34" t="s">
        <v>433</v>
      </c>
      <c r="B206" s="41" t="s">
        <v>434</v>
      </c>
      <c r="C206" s="34" t="s">
        <v>578</v>
      </c>
      <c r="D206" s="38">
        <v>7413</v>
      </c>
    </row>
    <row r="207" spans="1:4" ht="63" x14ac:dyDescent="0.25">
      <c r="A207" s="34" t="s">
        <v>435</v>
      </c>
      <c r="B207" s="41" t="s">
        <v>436</v>
      </c>
      <c r="C207" s="34" t="s">
        <v>636</v>
      </c>
      <c r="D207" s="38">
        <v>335000</v>
      </c>
    </row>
    <row r="208" spans="1:4" ht="31.5" x14ac:dyDescent="0.25">
      <c r="A208" s="34" t="s">
        <v>437</v>
      </c>
      <c r="B208" s="41" t="s">
        <v>438</v>
      </c>
      <c r="C208" s="34" t="s">
        <v>578</v>
      </c>
      <c r="D208" s="38">
        <v>4450</v>
      </c>
    </row>
    <row r="209" spans="1:5" x14ac:dyDescent="0.25">
      <c r="A209" s="34" t="s">
        <v>439</v>
      </c>
      <c r="B209" s="41" t="s">
        <v>246</v>
      </c>
      <c r="C209" s="34" t="s">
        <v>639</v>
      </c>
      <c r="D209" s="38">
        <v>6500</v>
      </c>
    </row>
    <row r="210" spans="1:5" x14ac:dyDescent="0.25">
      <c r="A210" s="34" t="s">
        <v>440</v>
      </c>
      <c r="B210" s="41" t="s">
        <v>244</v>
      </c>
      <c r="C210" s="34" t="s">
        <v>578</v>
      </c>
      <c r="D210" s="38">
        <v>5160</v>
      </c>
    </row>
    <row r="211" spans="1:5" x14ac:dyDescent="0.25">
      <c r="A211" s="34" t="s">
        <v>441</v>
      </c>
      <c r="B211" s="41" t="s">
        <v>248</v>
      </c>
      <c r="C211" s="34" t="s">
        <v>642</v>
      </c>
      <c r="D211" s="38">
        <v>38490</v>
      </c>
    </row>
    <row r="212" spans="1:5" x14ac:dyDescent="0.25">
      <c r="A212" s="34" t="s">
        <v>442</v>
      </c>
      <c r="B212" s="41" t="s">
        <v>253</v>
      </c>
      <c r="C212" s="34" t="s">
        <v>642</v>
      </c>
      <c r="D212" s="38">
        <v>40000</v>
      </c>
    </row>
    <row r="213" spans="1:5" x14ac:dyDescent="0.25">
      <c r="A213" s="34" t="s">
        <v>443</v>
      </c>
    </row>
    <row r="214" spans="1:5" x14ac:dyDescent="0.25">
      <c r="A214" s="47" t="s">
        <v>444</v>
      </c>
      <c r="B214" s="48" t="s">
        <v>628</v>
      </c>
      <c r="C214" s="47" t="s">
        <v>64</v>
      </c>
      <c r="D214" s="49" t="e">
        <f>'APU OBRA'!#REF!</f>
        <v>#REF!</v>
      </c>
    </row>
    <row r="215" spans="1:5" x14ac:dyDescent="0.25">
      <c r="A215" s="34" t="s">
        <v>445</v>
      </c>
    </row>
    <row r="216" spans="1:5" ht="159.75" customHeight="1" x14ac:dyDescent="0.25">
      <c r="A216" s="34" t="s">
        <v>446</v>
      </c>
      <c r="B216" s="39" t="s">
        <v>550</v>
      </c>
      <c r="C216" s="34" t="s">
        <v>635</v>
      </c>
      <c r="D216" s="38">
        <v>1545900</v>
      </c>
    </row>
    <row r="217" spans="1:5" x14ac:dyDescent="0.25">
      <c r="A217" s="34" t="s">
        <v>447</v>
      </c>
      <c r="B217" s="41" t="s">
        <v>448</v>
      </c>
      <c r="C217" s="34" t="s">
        <v>636</v>
      </c>
      <c r="D217" s="38">
        <v>52300</v>
      </c>
    </row>
    <row r="218" spans="1:5" ht="31.5" x14ac:dyDescent="0.25">
      <c r="A218" s="34" t="s">
        <v>449</v>
      </c>
      <c r="B218" s="41" t="s">
        <v>450</v>
      </c>
      <c r="C218" s="34" t="s">
        <v>636</v>
      </c>
      <c r="D218" s="52">
        <v>4244</v>
      </c>
    </row>
    <row r="219" spans="1:5" ht="63" x14ac:dyDescent="0.25">
      <c r="A219" s="34" t="s">
        <v>451</v>
      </c>
      <c r="B219" s="41" t="s">
        <v>452</v>
      </c>
      <c r="C219" s="34" t="s">
        <v>639</v>
      </c>
      <c r="D219" s="52">
        <v>42000</v>
      </c>
      <c r="E219" s="40" t="s">
        <v>453</v>
      </c>
    </row>
    <row r="220" spans="1:5" x14ac:dyDescent="0.25">
      <c r="A220" s="40"/>
      <c r="B220" s="40"/>
      <c r="C220" s="40"/>
      <c r="D220" s="40"/>
    </row>
    <row r="221" spans="1:5" x14ac:dyDescent="0.25">
      <c r="A221" s="104" t="str">
        <f>A184</f>
        <v>MAT-162</v>
      </c>
      <c r="B221" s="105" t="str">
        <f>B184</f>
        <v xml:space="preserve">Concreto 2500 PSI </v>
      </c>
      <c r="C221" s="104" t="s">
        <v>637</v>
      </c>
      <c r="D221" s="106">
        <f>D184</f>
        <v>524514.87108951597</v>
      </c>
    </row>
    <row r="222" spans="1:5" x14ac:dyDescent="0.25">
      <c r="A222" s="47" t="s">
        <v>456</v>
      </c>
      <c r="B222" s="48" t="s">
        <v>623</v>
      </c>
      <c r="C222" s="47" t="s">
        <v>637</v>
      </c>
      <c r="D222" s="49" t="e">
        <f>'APU OBRA'!#REF!</f>
        <v>#REF!</v>
      </c>
    </row>
    <row r="223" spans="1:5" x14ac:dyDescent="0.25">
      <c r="A223" s="47" t="s">
        <v>455</v>
      </c>
      <c r="B223" s="48" t="s">
        <v>624</v>
      </c>
      <c r="C223" s="47" t="s">
        <v>637</v>
      </c>
      <c r="D223" s="69" t="e">
        <f>'APU OBRA'!#REF!</f>
        <v>#REF!</v>
      </c>
    </row>
    <row r="224" spans="1:5" x14ac:dyDescent="0.25">
      <c r="A224" s="104" t="str">
        <f>A4</f>
        <v>MAT-003</v>
      </c>
      <c r="B224" s="105" t="str">
        <f>B4</f>
        <v xml:space="preserve">Concreto 3000 PSI (f´c = 210 kg/cm²) </v>
      </c>
      <c r="C224" s="104" t="s">
        <v>637</v>
      </c>
      <c r="D224" s="107" t="e">
        <f>D4</f>
        <v>#REF!</v>
      </c>
      <c r="E224" s="54"/>
    </row>
    <row r="225" spans="1:5" x14ac:dyDescent="0.25">
      <c r="A225" s="47" t="s">
        <v>454</v>
      </c>
      <c r="B225" s="48" t="s">
        <v>626</v>
      </c>
      <c r="C225" s="47" t="s">
        <v>637</v>
      </c>
      <c r="D225" s="69" t="e">
        <f>'APU OBRA'!#REF!</f>
        <v>#REF!</v>
      </c>
      <c r="E225" s="54"/>
    </row>
    <row r="226" spans="1:5" x14ac:dyDescent="0.25">
      <c r="A226" s="47" t="s">
        <v>461</v>
      </c>
      <c r="B226" s="48" t="s">
        <v>627</v>
      </c>
      <c r="C226" s="47" t="s">
        <v>637</v>
      </c>
      <c r="D226" s="49" t="e">
        <f>'APU OBRA'!#REF!</f>
        <v>#REF!</v>
      </c>
      <c r="E226" s="54"/>
    </row>
    <row r="227" spans="1:5" x14ac:dyDescent="0.25">
      <c r="A227" s="40"/>
      <c r="B227" s="40"/>
      <c r="C227" s="40"/>
      <c r="D227" s="40"/>
      <c r="E227" s="55"/>
    </row>
    <row r="228" spans="1:5" x14ac:dyDescent="0.25">
      <c r="A228" s="47" t="str">
        <f>A214</f>
        <v>MAT-191</v>
      </c>
      <c r="B228" s="48" t="str">
        <f>B214</f>
        <v>ACERO DE REFUERZO Fy=60MPa</v>
      </c>
      <c r="C228" s="47" t="s">
        <v>639</v>
      </c>
      <c r="D228" s="49" t="e">
        <f>D214</f>
        <v>#REF!</v>
      </c>
      <c r="E228" s="55"/>
    </row>
    <row r="230" spans="1:5" x14ac:dyDescent="0.25">
      <c r="A230" s="34" t="s">
        <v>457</v>
      </c>
      <c r="B230" s="41" t="s">
        <v>458</v>
      </c>
      <c r="C230" s="34" t="s">
        <v>639</v>
      </c>
      <c r="D230" s="38">
        <v>10000</v>
      </c>
    </row>
    <row r="231" spans="1:5" x14ac:dyDescent="0.25">
      <c r="A231" s="34" t="s">
        <v>459</v>
      </c>
      <c r="B231" s="41" t="s">
        <v>460</v>
      </c>
      <c r="C231" s="34" t="s">
        <v>637</v>
      </c>
      <c r="D231" s="38">
        <v>45000</v>
      </c>
    </row>
    <row r="232" spans="1:5" x14ac:dyDescent="0.25">
      <c r="A232" s="40"/>
      <c r="B232" s="40"/>
      <c r="C232" s="40"/>
      <c r="D232" s="40"/>
      <c r="E232" s="40">
        <v>125824</v>
      </c>
    </row>
    <row r="233" spans="1:5" ht="31.5" x14ac:dyDescent="0.25">
      <c r="A233" s="34" t="s">
        <v>462</v>
      </c>
      <c r="B233" s="41" t="s">
        <v>463</v>
      </c>
      <c r="C233" s="34" t="s">
        <v>578</v>
      </c>
      <c r="D233" s="38">
        <v>12080</v>
      </c>
    </row>
    <row r="234" spans="1:5" x14ac:dyDescent="0.25">
      <c r="A234" s="34" t="s">
        <v>447</v>
      </c>
      <c r="B234" s="41" t="s">
        <v>448</v>
      </c>
      <c r="C234" s="34" t="s">
        <v>636</v>
      </c>
      <c r="D234" s="38">
        <v>52300</v>
      </c>
    </row>
    <row r="235" spans="1:5" ht="47.25" x14ac:dyDescent="0.25">
      <c r="A235" s="34" t="s">
        <v>464</v>
      </c>
      <c r="B235" s="41" t="s">
        <v>553</v>
      </c>
      <c r="C235" s="34" t="s">
        <v>635</v>
      </c>
      <c r="D235" s="38">
        <v>43000</v>
      </c>
    </row>
    <row r="236" spans="1:5" x14ac:dyDescent="0.25">
      <c r="A236" s="34" t="s">
        <v>465</v>
      </c>
      <c r="B236" s="41" t="s">
        <v>466</v>
      </c>
      <c r="C236" s="34" t="s">
        <v>635</v>
      </c>
      <c r="D236" s="38">
        <v>8272</v>
      </c>
    </row>
    <row r="237" spans="1:5" x14ac:dyDescent="0.25">
      <c r="A237" s="34" t="s">
        <v>467</v>
      </c>
      <c r="B237" s="41" t="s">
        <v>468</v>
      </c>
      <c r="C237" s="34" t="s">
        <v>635</v>
      </c>
      <c r="D237" s="38">
        <v>7900</v>
      </c>
    </row>
    <row r="238" spans="1:5" x14ac:dyDescent="0.25">
      <c r="A238" s="34" t="s">
        <v>469</v>
      </c>
      <c r="B238" s="41" t="s">
        <v>470</v>
      </c>
      <c r="C238" s="34" t="s">
        <v>636</v>
      </c>
      <c r="D238" s="38">
        <v>18300</v>
      </c>
    </row>
    <row r="239" spans="1:5" x14ac:dyDescent="0.25">
      <c r="A239" s="47" t="s">
        <v>471</v>
      </c>
      <c r="B239" s="48" t="str">
        <f>B221</f>
        <v xml:space="preserve">Concreto 2500 PSI </v>
      </c>
      <c r="C239" s="47" t="s">
        <v>637</v>
      </c>
      <c r="D239" s="49">
        <f>D221</f>
        <v>524514.87108951597</v>
      </c>
    </row>
    <row r="240" spans="1:5" x14ac:dyDescent="0.25">
      <c r="A240" s="34" t="s">
        <v>472</v>
      </c>
      <c r="B240" s="41" t="s">
        <v>473</v>
      </c>
      <c r="C240" s="34" t="s">
        <v>637</v>
      </c>
      <c r="D240" s="38">
        <v>416.87</v>
      </c>
    </row>
    <row r="241" spans="1:4" x14ac:dyDescent="0.25">
      <c r="A241" s="34" t="s">
        <v>474</v>
      </c>
      <c r="B241" s="41" t="s">
        <v>475</v>
      </c>
      <c r="C241" s="34" t="s">
        <v>637</v>
      </c>
      <c r="D241" s="38">
        <v>9700.2000000000007</v>
      </c>
    </row>
    <row r="242" spans="1:4" x14ac:dyDescent="0.25">
      <c r="A242" s="34" t="s">
        <v>476</v>
      </c>
      <c r="B242" s="41" t="s">
        <v>477</v>
      </c>
      <c r="C242" s="34" t="s">
        <v>637</v>
      </c>
      <c r="D242" s="38">
        <v>7021.69</v>
      </c>
    </row>
    <row r="243" spans="1:4" x14ac:dyDescent="0.25">
      <c r="A243" s="34" t="s">
        <v>478</v>
      </c>
      <c r="B243" s="41" t="s">
        <v>479</v>
      </c>
      <c r="C243" s="34" t="s">
        <v>639</v>
      </c>
      <c r="D243" s="38">
        <v>500</v>
      </c>
    </row>
    <row r="244" spans="1:4" x14ac:dyDescent="0.25">
      <c r="A244" s="34" t="s">
        <v>480</v>
      </c>
      <c r="B244" s="41" t="s">
        <v>481</v>
      </c>
      <c r="C244" s="34" t="s">
        <v>578</v>
      </c>
      <c r="D244" s="38">
        <v>37.299999999999997</v>
      </c>
    </row>
    <row r="245" spans="1:4" ht="31.5" x14ac:dyDescent="0.25">
      <c r="A245" s="34" t="s">
        <v>482</v>
      </c>
      <c r="B245" s="41" t="s">
        <v>483</v>
      </c>
      <c r="C245" s="34" t="s">
        <v>639</v>
      </c>
      <c r="D245" s="38">
        <v>266.73</v>
      </c>
    </row>
    <row r="246" spans="1:4" ht="173.25" x14ac:dyDescent="0.25">
      <c r="A246" s="34" t="s">
        <v>484</v>
      </c>
      <c r="B246" s="41" t="s">
        <v>485</v>
      </c>
      <c r="C246" s="34" t="s">
        <v>578</v>
      </c>
      <c r="D246" s="38">
        <v>1439599.36</v>
      </c>
    </row>
    <row r="247" spans="1:4" ht="31.5" x14ac:dyDescent="0.25">
      <c r="A247" s="34" t="s">
        <v>486</v>
      </c>
      <c r="B247" s="41" t="s">
        <v>487</v>
      </c>
      <c r="C247" s="34" t="s">
        <v>639</v>
      </c>
      <c r="D247" s="38">
        <v>279.72000000000003</v>
      </c>
    </row>
    <row r="248" spans="1:4" ht="31.5" x14ac:dyDescent="0.25">
      <c r="A248" s="34" t="s">
        <v>488</v>
      </c>
      <c r="B248" s="41" t="s">
        <v>489</v>
      </c>
      <c r="C248" s="34" t="s">
        <v>641</v>
      </c>
      <c r="D248" s="38">
        <v>1615.6</v>
      </c>
    </row>
    <row r="249" spans="1:4" x14ac:dyDescent="0.25">
      <c r="A249" s="34" t="s">
        <v>490</v>
      </c>
      <c r="B249" s="41" t="s">
        <v>577</v>
      </c>
      <c r="C249" s="34" t="s">
        <v>578</v>
      </c>
      <c r="D249" s="38">
        <v>5200000</v>
      </c>
    </row>
    <row r="250" spans="1:4" x14ac:dyDescent="0.25">
      <c r="A250" s="34" t="s">
        <v>491</v>
      </c>
      <c r="B250" s="41" t="s">
        <v>579</v>
      </c>
      <c r="C250" s="34" t="s">
        <v>578</v>
      </c>
      <c r="D250" s="38">
        <v>1200000</v>
      </c>
    </row>
    <row r="251" spans="1:4" x14ac:dyDescent="0.25">
      <c r="A251" s="34" t="s">
        <v>492</v>
      </c>
      <c r="B251" s="41" t="s">
        <v>580</v>
      </c>
      <c r="C251" s="34" t="s">
        <v>578</v>
      </c>
      <c r="D251" s="38">
        <v>100000</v>
      </c>
    </row>
    <row r="252" spans="1:4" x14ac:dyDescent="0.25">
      <c r="A252" s="34" t="s">
        <v>493</v>
      </c>
      <c r="B252" s="41" t="s">
        <v>581</v>
      </c>
      <c r="C252" s="34" t="s">
        <v>578</v>
      </c>
      <c r="D252" s="38">
        <v>6600000</v>
      </c>
    </row>
    <row r="253" spans="1:4" x14ac:dyDescent="0.25">
      <c r="A253" s="34" t="s">
        <v>494</v>
      </c>
      <c r="B253" s="41" t="s">
        <v>582</v>
      </c>
      <c r="C253" s="34" t="s">
        <v>578</v>
      </c>
      <c r="D253" s="38">
        <v>250000</v>
      </c>
    </row>
    <row r="254" spans="1:4" x14ac:dyDescent="0.25">
      <c r="A254" s="34" t="s">
        <v>554</v>
      </c>
      <c r="B254" s="41" t="s">
        <v>583</v>
      </c>
      <c r="C254" s="34" t="s">
        <v>578</v>
      </c>
      <c r="D254" s="38">
        <v>73000</v>
      </c>
    </row>
    <row r="255" spans="1:4" x14ac:dyDescent="0.25">
      <c r="A255" s="34" t="s">
        <v>555</v>
      </c>
      <c r="B255" s="41" t="s">
        <v>584</v>
      </c>
      <c r="C255" s="34" t="s">
        <v>578</v>
      </c>
      <c r="D255" s="38">
        <v>28000</v>
      </c>
    </row>
    <row r="256" spans="1:4" x14ac:dyDescent="0.25">
      <c r="A256" s="34" t="s">
        <v>556</v>
      </c>
      <c r="B256" s="41" t="s">
        <v>585</v>
      </c>
      <c r="C256" s="34" t="s">
        <v>578</v>
      </c>
      <c r="D256" s="38">
        <v>46000</v>
      </c>
    </row>
    <row r="257" spans="1:4" x14ac:dyDescent="0.25">
      <c r="A257" s="34" t="s">
        <v>557</v>
      </c>
      <c r="B257" s="41" t="s">
        <v>586</v>
      </c>
      <c r="C257" s="34" t="s">
        <v>578</v>
      </c>
      <c r="D257" s="38">
        <v>48500</v>
      </c>
    </row>
    <row r="258" spans="1:4" x14ac:dyDescent="0.25">
      <c r="A258" s="34" t="s">
        <v>558</v>
      </c>
      <c r="B258" s="41" t="s">
        <v>587</v>
      </c>
      <c r="C258" s="34" t="s">
        <v>578</v>
      </c>
      <c r="D258" s="38">
        <v>87000</v>
      </c>
    </row>
    <row r="259" spans="1:4" x14ac:dyDescent="0.25">
      <c r="A259" s="34" t="s">
        <v>559</v>
      </c>
      <c r="B259" s="41" t="s">
        <v>588</v>
      </c>
      <c r="C259" s="34" t="s">
        <v>578</v>
      </c>
      <c r="D259" s="38">
        <v>1600000</v>
      </c>
    </row>
    <row r="260" spans="1:4" x14ac:dyDescent="0.25">
      <c r="A260" s="34" t="s">
        <v>560</v>
      </c>
      <c r="B260" s="41" t="s">
        <v>589</v>
      </c>
      <c r="C260" s="34" t="s">
        <v>578</v>
      </c>
      <c r="D260" s="38">
        <v>800000</v>
      </c>
    </row>
    <row r="261" spans="1:4" x14ac:dyDescent="0.25">
      <c r="A261" s="34" t="s">
        <v>561</v>
      </c>
      <c r="B261" s="41" t="s">
        <v>590</v>
      </c>
      <c r="C261" s="34" t="s">
        <v>578</v>
      </c>
      <c r="D261" s="38">
        <v>115000</v>
      </c>
    </row>
    <row r="262" spans="1:4" x14ac:dyDescent="0.25">
      <c r="A262" s="34" t="s">
        <v>562</v>
      </c>
      <c r="B262" s="41" t="s">
        <v>591</v>
      </c>
      <c r="C262" s="34" t="s">
        <v>578</v>
      </c>
      <c r="D262" s="38">
        <v>94000</v>
      </c>
    </row>
    <row r="263" spans="1:4" x14ac:dyDescent="0.25">
      <c r="A263" s="34" t="s">
        <v>563</v>
      </c>
      <c r="B263" s="41" t="s">
        <v>592</v>
      </c>
      <c r="C263" s="34" t="s">
        <v>578</v>
      </c>
      <c r="D263" s="38">
        <v>38000</v>
      </c>
    </row>
    <row r="264" spans="1:4" x14ac:dyDescent="0.25">
      <c r="A264" s="34" t="s">
        <v>564</v>
      </c>
      <c r="B264" s="41" t="s">
        <v>593</v>
      </c>
      <c r="C264" s="34" t="s">
        <v>578</v>
      </c>
      <c r="D264" s="38">
        <v>208400</v>
      </c>
    </row>
    <row r="265" spans="1:4" x14ac:dyDescent="0.25">
      <c r="A265" s="34" t="s">
        <v>565</v>
      </c>
      <c r="B265" s="41" t="s">
        <v>594</v>
      </c>
      <c r="C265" s="34" t="s">
        <v>578</v>
      </c>
      <c r="D265" s="38">
        <v>24000</v>
      </c>
    </row>
    <row r="266" spans="1:4" x14ac:dyDescent="0.25">
      <c r="A266" s="34" t="s">
        <v>566</v>
      </c>
      <c r="B266" s="41" t="s">
        <v>595</v>
      </c>
      <c r="C266" s="34" t="s">
        <v>578</v>
      </c>
      <c r="D266" s="38">
        <v>39000</v>
      </c>
    </row>
    <row r="267" spans="1:4" x14ac:dyDescent="0.25">
      <c r="A267" s="34" t="s">
        <v>567</v>
      </c>
      <c r="B267" s="41" t="s">
        <v>596</v>
      </c>
      <c r="C267" s="34" t="s">
        <v>578</v>
      </c>
      <c r="D267" s="38">
        <v>29000</v>
      </c>
    </row>
    <row r="268" spans="1:4" x14ac:dyDescent="0.25">
      <c r="A268" s="34" t="s">
        <v>568</v>
      </c>
      <c r="B268" s="41" t="s">
        <v>597</v>
      </c>
      <c r="C268" s="34" t="s">
        <v>578</v>
      </c>
      <c r="D268" s="38">
        <v>275000</v>
      </c>
    </row>
    <row r="269" spans="1:4" x14ac:dyDescent="0.25">
      <c r="A269" s="34" t="s">
        <v>569</v>
      </c>
      <c r="B269" s="41" t="s">
        <v>598</v>
      </c>
      <c r="C269" s="34" t="s">
        <v>578</v>
      </c>
      <c r="D269" s="38">
        <v>162000</v>
      </c>
    </row>
    <row r="270" spans="1:4" x14ac:dyDescent="0.25">
      <c r="A270" s="34" t="s">
        <v>570</v>
      </c>
      <c r="B270" s="41" t="s">
        <v>599</v>
      </c>
      <c r="C270" s="34" t="s">
        <v>578</v>
      </c>
      <c r="D270" s="38">
        <v>1180000</v>
      </c>
    </row>
    <row r="271" spans="1:4" x14ac:dyDescent="0.25">
      <c r="A271" s="34" t="s">
        <v>571</v>
      </c>
      <c r="B271" s="41" t="s">
        <v>600</v>
      </c>
      <c r="C271" s="34" t="s">
        <v>578</v>
      </c>
      <c r="D271" s="38">
        <v>76000</v>
      </c>
    </row>
    <row r="272" spans="1:4" x14ac:dyDescent="0.25">
      <c r="A272" s="34" t="s">
        <v>572</v>
      </c>
      <c r="B272" s="41" t="s">
        <v>601</v>
      </c>
      <c r="C272" s="34" t="s">
        <v>578</v>
      </c>
      <c r="D272" s="38">
        <v>92000</v>
      </c>
    </row>
    <row r="273" spans="1:4" x14ac:dyDescent="0.25">
      <c r="A273" s="34" t="s">
        <v>573</v>
      </c>
      <c r="B273" s="41" t="s">
        <v>602</v>
      </c>
      <c r="C273" s="34" t="s">
        <v>578</v>
      </c>
      <c r="D273" s="38">
        <v>139000</v>
      </c>
    </row>
    <row r="274" spans="1:4" x14ac:dyDescent="0.25">
      <c r="A274" s="34" t="s">
        <v>574</v>
      </c>
      <c r="B274" s="41" t="s">
        <v>603</v>
      </c>
      <c r="C274" s="34" t="s">
        <v>578</v>
      </c>
      <c r="D274" s="38">
        <v>1650000</v>
      </c>
    </row>
    <row r="275" spans="1:4" x14ac:dyDescent="0.25">
      <c r="A275" s="34" t="s">
        <v>575</v>
      </c>
      <c r="B275" s="41" t="s">
        <v>604</v>
      </c>
      <c r="C275" s="34" t="s">
        <v>578</v>
      </c>
      <c r="D275" s="38">
        <v>250000</v>
      </c>
    </row>
    <row r="276" spans="1:4" x14ac:dyDescent="0.25">
      <c r="A276" s="34" t="s">
        <v>576</v>
      </c>
      <c r="B276" s="41" t="s">
        <v>605</v>
      </c>
      <c r="C276" s="34" t="s">
        <v>578</v>
      </c>
      <c r="D276" s="38">
        <v>76000</v>
      </c>
    </row>
    <row r="277" spans="1:4" x14ac:dyDescent="0.25">
      <c r="A277" s="34" t="s">
        <v>611</v>
      </c>
      <c r="B277" s="41" t="s">
        <v>614</v>
      </c>
      <c r="C277" s="34" t="s">
        <v>637</v>
      </c>
      <c r="D277" s="38">
        <v>22753977</v>
      </c>
    </row>
    <row r="278" spans="1:4" x14ac:dyDescent="0.25">
      <c r="A278" s="34" t="s">
        <v>612</v>
      </c>
      <c r="B278" s="41" t="s">
        <v>615</v>
      </c>
      <c r="C278" s="34" t="s">
        <v>640</v>
      </c>
      <c r="D278" s="38">
        <v>22000</v>
      </c>
    </row>
    <row r="279" spans="1:4" x14ac:dyDescent="0.25">
      <c r="A279" s="34" t="s">
        <v>613</v>
      </c>
      <c r="B279" s="41" t="s">
        <v>633</v>
      </c>
      <c r="C279" s="34" t="s">
        <v>635</v>
      </c>
      <c r="D279" s="38">
        <v>20000</v>
      </c>
    </row>
    <row r="280" spans="1:4" ht="16.5" x14ac:dyDescent="0.25">
      <c r="A280" s="34" t="s">
        <v>694</v>
      </c>
      <c r="B280" s="136" t="s">
        <v>704</v>
      </c>
      <c r="C280" s="137" t="s">
        <v>58</v>
      </c>
      <c r="D280" s="38">
        <v>37500</v>
      </c>
    </row>
    <row r="281" spans="1:4" ht="16.5" x14ac:dyDescent="0.25">
      <c r="A281" s="34" t="s">
        <v>695</v>
      </c>
      <c r="B281" s="136" t="s">
        <v>705</v>
      </c>
      <c r="C281" s="137" t="s">
        <v>58</v>
      </c>
      <c r="D281" s="38">
        <v>29000</v>
      </c>
    </row>
    <row r="282" spans="1:4" ht="16.5" x14ac:dyDescent="0.3">
      <c r="A282" s="34" t="s">
        <v>696</v>
      </c>
      <c r="B282" s="121" t="s">
        <v>607</v>
      </c>
      <c r="C282" s="63" t="s">
        <v>606</v>
      </c>
      <c r="D282" s="62">
        <v>450</v>
      </c>
    </row>
    <row r="283" spans="1:4" ht="16.5" x14ac:dyDescent="0.3">
      <c r="A283" s="34" t="s">
        <v>697</v>
      </c>
      <c r="B283" s="121" t="s">
        <v>608</v>
      </c>
      <c r="C283" s="63" t="s">
        <v>172</v>
      </c>
      <c r="D283" s="62">
        <v>485489</v>
      </c>
    </row>
    <row r="284" spans="1:4" ht="16.5" x14ac:dyDescent="0.3">
      <c r="A284" s="34" t="s">
        <v>698</v>
      </c>
      <c r="B284" s="121" t="s">
        <v>609</v>
      </c>
      <c r="C284" s="63" t="s">
        <v>172</v>
      </c>
      <c r="D284" s="62">
        <v>680000</v>
      </c>
    </row>
    <row r="285" spans="1:4" ht="16.5" x14ac:dyDescent="0.3">
      <c r="A285" s="34" t="s">
        <v>699</v>
      </c>
      <c r="B285" s="64" t="s">
        <v>610</v>
      </c>
      <c r="C285" s="65" t="s">
        <v>235</v>
      </c>
      <c r="D285" s="66">
        <v>4390</v>
      </c>
    </row>
    <row r="286" spans="1:4" x14ac:dyDescent="0.25">
      <c r="A286" s="34" t="s">
        <v>700</v>
      </c>
      <c r="B286" s="41" t="s">
        <v>708</v>
      </c>
      <c r="C286" s="34" t="s">
        <v>709</v>
      </c>
      <c r="D286" s="38">
        <v>60000</v>
      </c>
    </row>
    <row r="287" spans="1:4" x14ac:dyDescent="0.25">
      <c r="A287" s="34" t="s">
        <v>701</v>
      </c>
      <c r="B287" s="41" t="s">
        <v>661</v>
      </c>
      <c r="C287" s="34" t="s">
        <v>54</v>
      </c>
      <c r="D287" s="38">
        <v>182694</v>
      </c>
    </row>
    <row r="288" spans="1:4" x14ac:dyDescent="0.25">
      <c r="A288" s="34" t="s">
        <v>702</v>
      </c>
      <c r="B288" s="41" t="s">
        <v>716</v>
      </c>
      <c r="C288" s="34" t="s">
        <v>54</v>
      </c>
      <c r="D288" s="38">
        <v>754225</v>
      </c>
    </row>
    <row r="289" spans="1:4" x14ac:dyDescent="0.25">
      <c r="A289" s="34" t="s">
        <v>703</v>
      </c>
      <c r="B289" s="41" t="s">
        <v>717</v>
      </c>
      <c r="C289" s="34" t="s">
        <v>54</v>
      </c>
      <c r="D289" s="38">
        <v>389450</v>
      </c>
    </row>
    <row r="290" spans="1:4" x14ac:dyDescent="0.25">
      <c r="A290" s="34" t="s">
        <v>711</v>
      </c>
      <c r="B290" s="41" t="s">
        <v>719</v>
      </c>
      <c r="C290" s="34" t="s">
        <v>54</v>
      </c>
      <c r="D290" s="38">
        <v>566260</v>
      </c>
    </row>
    <row r="291" spans="1:4" x14ac:dyDescent="0.25">
      <c r="A291" s="34" t="s">
        <v>712</v>
      </c>
      <c r="B291" s="41" t="s">
        <v>718</v>
      </c>
      <c r="C291" s="34" t="s">
        <v>54</v>
      </c>
      <c r="D291" s="38">
        <v>1497800</v>
      </c>
    </row>
    <row r="292" spans="1:4" x14ac:dyDescent="0.25">
      <c r="A292" s="34" t="s">
        <v>713</v>
      </c>
      <c r="B292" s="41" t="s">
        <v>720</v>
      </c>
      <c r="C292" s="34" t="s">
        <v>54</v>
      </c>
      <c r="D292" s="38">
        <f>2188750-50000</f>
        <v>2138750</v>
      </c>
    </row>
    <row r="293" spans="1:4" x14ac:dyDescent="0.25">
      <c r="A293" s="34" t="s">
        <v>714</v>
      </c>
      <c r="B293" s="41" t="s">
        <v>721</v>
      </c>
      <c r="C293" s="34" t="s">
        <v>54</v>
      </c>
      <c r="D293" s="38">
        <f>4371700-50000</f>
        <v>4321700</v>
      </c>
    </row>
    <row r="294" spans="1:4" x14ac:dyDescent="0.25">
      <c r="A294" s="34" t="s">
        <v>715</v>
      </c>
      <c r="B294" s="41" t="s">
        <v>722</v>
      </c>
      <c r="C294" s="34" t="s">
        <v>54</v>
      </c>
      <c r="D294" s="38">
        <f>5150600-50000</f>
        <v>5100600</v>
      </c>
    </row>
    <row r="295" spans="1:4" x14ac:dyDescent="0.25">
      <c r="A295" s="34" t="s">
        <v>723</v>
      </c>
      <c r="B295" s="41" t="s">
        <v>740</v>
      </c>
      <c r="C295" s="34" t="s">
        <v>54</v>
      </c>
      <c r="D295" s="38">
        <v>26704</v>
      </c>
    </row>
    <row r="296" spans="1:4" x14ac:dyDescent="0.25">
      <c r="A296" s="34" t="s">
        <v>724</v>
      </c>
      <c r="B296" s="41" t="s">
        <v>741</v>
      </c>
      <c r="C296" s="34" t="s">
        <v>54</v>
      </c>
      <c r="D296" s="38">
        <v>8104</v>
      </c>
    </row>
    <row r="297" spans="1:4" x14ac:dyDescent="0.25">
      <c r="A297" s="34" t="s">
        <v>725</v>
      </c>
      <c r="B297" s="41" t="s">
        <v>742</v>
      </c>
      <c r="C297" s="34" t="s">
        <v>54</v>
      </c>
      <c r="D297" s="38">
        <v>51804</v>
      </c>
    </row>
    <row r="298" spans="1:4" x14ac:dyDescent="0.25">
      <c r="A298" s="34" t="s">
        <v>726</v>
      </c>
      <c r="B298" s="41" t="s">
        <v>743</v>
      </c>
      <c r="C298" s="34" t="s">
        <v>54</v>
      </c>
      <c r="D298" s="38">
        <v>161038</v>
      </c>
    </row>
    <row r="299" spans="1:4" x14ac:dyDescent="0.25">
      <c r="A299" s="34" t="s">
        <v>727</v>
      </c>
      <c r="B299" s="41" t="s">
        <v>744</v>
      </c>
      <c r="C299" s="34" t="s">
        <v>54</v>
      </c>
      <c r="D299" s="38">
        <v>313505</v>
      </c>
    </row>
    <row r="300" spans="1:4" x14ac:dyDescent="0.25">
      <c r="A300" s="34" t="s">
        <v>728</v>
      </c>
      <c r="B300" s="41" t="s">
        <v>745</v>
      </c>
      <c r="C300" s="34" t="s">
        <v>54</v>
      </c>
      <c r="D300" s="38">
        <v>577405</v>
      </c>
    </row>
    <row r="301" spans="1:4" x14ac:dyDescent="0.25">
      <c r="A301" s="34" t="s">
        <v>729</v>
      </c>
      <c r="B301" s="41" t="s">
        <v>746</v>
      </c>
      <c r="C301" s="34" t="s">
        <v>54</v>
      </c>
      <c r="D301" s="38">
        <v>904672</v>
      </c>
    </row>
    <row r="302" spans="1:4" x14ac:dyDescent="0.25">
      <c r="A302" s="34" t="s">
        <v>731</v>
      </c>
      <c r="B302" s="41" t="s">
        <v>730</v>
      </c>
      <c r="C302" s="34" t="s">
        <v>64</v>
      </c>
      <c r="D302" s="38">
        <v>43900</v>
      </c>
    </row>
    <row r="303" spans="1:4" x14ac:dyDescent="0.25">
      <c r="A303" s="34" t="s">
        <v>732</v>
      </c>
      <c r="B303" s="41" t="s">
        <v>738</v>
      </c>
      <c r="C303" s="34" t="s">
        <v>54</v>
      </c>
      <c r="D303" s="38">
        <v>40900</v>
      </c>
    </row>
    <row r="304" spans="1:4" x14ac:dyDescent="0.25">
      <c r="A304" s="34" t="s">
        <v>733</v>
      </c>
      <c r="B304" s="41" t="s">
        <v>739</v>
      </c>
      <c r="C304" s="34" t="s">
        <v>54</v>
      </c>
      <c r="D304" s="38">
        <v>84900</v>
      </c>
    </row>
    <row r="305" spans="1:4" x14ac:dyDescent="0.25">
      <c r="A305" s="34" t="s">
        <v>734</v>
      </c>
      <c r="B305" s="41" t="s">
        <v>750</v>
      </c>
      <c r="C305" s="34" t="s">
        <v>636</v>
      </c>
      <c r="D305" s="38">
        <v>216657</v>
      </c>
    </row>
    <row r="306" spans="1:4" x14ac:dyDescent="0.25">
      <c r="A306" s="34" t="s">
        <v>735</v>
      </c>
      <c r="B306" s="41" t="s">
        <v>751</v>
      </c>
      <c r="C306" s="34" t="s">
        <v>636</v>
      </c>
      <c r="D306" s="38">
        <v>52831</v>
      </c>
    </row>
    <row r="307" spans="1:4" x14ac:dyDescent="0.25">
      <c r="A307" s="34" t="s">
        <v>736</v>
      </c>
      <c r="B307" s="41" t="s">
        <v>752</v>
      </c>
      <c r="C307" s="34" t="s">
        <v>636</v>
      </c>
      <c r="D307" s="38">
        <v>127962</v>
      </c>
    </row>
    <row r="308" spans="1:4" x14ac:dyDescent="0.25">
      <c r="A308" s="34" t="s">
        <v>737</v>
      </c>
      <c r="B308" s="41" t="s">
        <v>753</v>
      </c>
      <c r="C308" s="34" t="s">
        <v>636</v>
      </c>
      <c r="D308" s="38">
        <v>91357</v>
      </c>
    </row>
    <row r="309" spans="1:4" x14ac:dyDescent="0.25">
      <c r="A309" s="34" t="s">
        <v>747</v>
      </c>
      <c r="B309" s="41" t="s">
        <v>754</v>
      </c>
      <c r="C309" s="34" t="s">
        <v>636</v>
      </c>
      <c r="D309" s="38">
        <f>157894-5000</f>
        <v>152894</v>
      </c>
    </row>
    <row r="310" spans="1:4" x14ac:dyDescent="0.25">
      <c r="A310" s="34" t="s">
        <v>748</v>
      </c>
      <c r="B310" s="41" t="s">
        <v>755</v>
      </c>
      <c r="C310" s="34" t="s">
        <v>636</v>
      </c>
      <c r="D310" s="38">
        <f>248659-5000</f>
        <v>243659</v>
      </c>
    </row>
    <row r="311" spans="1:4" x14ac:dyDescent="0.25">
      <c r="A311" s="34" t="s">
        <v>749</v>
      </c>
      <c r="B311" s="41" t="s">
        <v>756</v>
      </c>
      <c r="C311" s="34" t="s">
        <v>636</v>
      </c>
      <c r="D311" s="38">
        <f>349416-5000</f>
        <v>344416</v>
      </c>
    </row>
    <row r="312" spans="1:4" x14ac:dyDescent="0.25">
      <c r="A312" s="34" t="s">
        <v>757</v>
      </c>
      <c r="B312" s="41" t="s">
        <v>758</v>
      </c>
      <c r="C312" s="34" t="s">
        <v>61</v>
      </c>
      <c r="D312" s="38">
        <v>20401</v>
      </c>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workbookViewId="0">
      <selection activeCell="D3" sqref="D3"/>
    </sheetView>
  </sheetViews>
  <sheetFormatPr baseColWidth="10" defaultColWidth="11.42578125" defaultRowHeight="15" x14ac:dyDescent="0.25"/>
  <cols>
    <col min="1" max="1" width="8.42578125" bestFit="1" customWidth="1"/>
    <col min="2" max="2" width="54" bestFit="1" customWidth="1"/>
  </cols>
  <sheetData>
    <row r="1" spans="1:4" ht="33" x14ac:dyDescent="0.25">
      <c r="A1" s="20" t="s">
        <v>66</v>
      </c>
      <c r="B1" s="12" t="s">
        <v>51</v>
      </c>
      <c r="C1" s="12" t="s">
        <v>52</v>
      </c>
      <c r="D1" s="13" t="s">
        <v>531</v>
      </c>
    </row>
    <row r="2" spans="1:4" x14ac:dyDescent="0.25">
      <c r="A2" s="21" t="s">
        <v>532</v>
      </c>
      <c r="B2" s="21" t="s">
        <v>533</v>
      </c>
      <c r="C2" s="21" t="s">
        <v>534</v>
      </c>
      <c r="D2" s="22">
        <v>1000</v>
      </c>
    </row>
    <row r="3" spans="1:4" x14ac:dyDescent="0.25">
      <c r="C3" s="14"/>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E512"/>
  <sheetViews>
    <sheetView topLeftCell="A2" workbookViewId="0">
      <selection activeCell="D8" sqref="D8"/>
    </sheetView>
  </sheetViews>
  <sheetFormatPr baseColWidth="10" defaultColWidth="11.42578125" defaultRowHeight="15" x14ac:dyDescent="0.25"/>
  <cols>
    <col min="2" max="2" width="35" customWidth="1"/>
    <col min="4" max="4" width="12.5703125" style="15" bestFit="1" customWidth="1"/>
    <col min="5" max="5" width="28.28515625" bestFit="1" customWidth="1"/>
  </cols>
  <sheetData>
    <row r="2" spans="1:5" ht="15" customHeight="1" x14ac:dyDescent="0.25">
      <c r="A2" s="8" t="s">
        <v>0</v>
      </c>
      <c r="B2" s="17" t="s">
        <v>1</v>
      </c>
      <c r="C2" s="9" t="s">
        <v>2</v>
      </c>
      <c r="D2" s="18">
        <v>150000</v>
      </c>
    </row>
    <row r="3" spans="1:5" ht="15" customHeight="1" x14ac:dyDescent="0.25">
      <c r="A3" s="8" t="s">
        <v>3</v>
      </c>
      <c r="B3" s="17" t="s">
        <v>4</v>
      </c>
      <c r="C3" s="9" t="s">
        <v>5</v>
      </c>
      <c r="D3" s="18">
        <v>80000</v>
      </c>
    </row>
    <row r="4" spans="1:5" x14ac:dyDescent="0.25">
      <c r="A4" s="8" t="s">
        <v>6</v>
      </c>
      <c r="B4" s="17" t="s">
        <v>7</v>
      </c>
      <c r="C4" s="9" t="s">
        <v>5</v>
      </c>
      <c r="D4" s="18">
        <v>90000</v>
      </c>
    </row>
    <row r="5" spans="1:5" ht="15" customHeight="1" x14ac:dyDescent="0.25">
      <c r="A5" s="8" t="s">
        <v>8</v>
      </c>
      <c r="B5" s="17" t="s">
        <v>9</v>
      </c>
      <c r="C5" s="9" t="s">
        <v>2</v>
      </c>
      <c r="D5" s="18">
        <v>25000</v>
      </c>
    </row>
    <row r="6" spans="1:5" ht="15" customHeight="1" x14ac:dyDescent="0.25">
      <c r="A6" s="8" t="s">
        <v>10</v>
      </c>
      <c r="B6" s="17" t="s">
        <v>11</v>
      </c>
      <c r="C6" s="9" t="s">
        <v>2</v>
      </c>
      <c r="D6" s="18">
        <v>60000</v>
      </c>
    </row>
    <row r="7" spans="1:5" x14ac:dyDescent="0.25">
      <c r="A7" s="8" t="s">
        <v>12</v>
      </c>
      <c r="B7" s="17" t="s">
        <v>759</v>
      </c>
      <c r="C7" s="9" t="s">
        <v>2</v>
      </c>
      <c r="D7" s="18">
        <v>50000</v>
      </c>
      <c r="E7" s="16"/>
    </row>
    <row r="8" spans="1:5" x14ac:dyDescent="0.25">
      <c r="A8" s="8" t="s">
        <v>13</v>
      </c>
      <c r="B8" s="17" t="s">
        <v>14</v>
      </c>
      <c r="C8" s="9" t="s">
        <v>5</v>
      </c>
      <c r="D8" s="18">
        <v>5300</v>
      </c>
      <c r="E8" s="16"/>
    </row>
    <row r="9" spans="1:5" ht="25.5" x14ac:dyDescent="0.25">
      <c r="A9" s="8" t="s">
        <v>15</v>
      </c>
      <c r="B9" s="17" t="s">
        <v>16</v>
      </c>
      <c r="C9" s="9" t="s">
        <v>5</v>
      </c>
      <c r="D9" s="18">
        <v>26500</v>
      </c>
      <c r="E9" s="16"/>
    </row>
    <row r="10" spans="1:5" x14ac:dyDescent="0.25">
      <c r="A10" s="8" t="s">
        <v>17</v>
      </c>
      <c r="B10" s="17" t="s">
        <v>18</v>
      </c>
      <c r="C10" s="9" t="s">
        <v>19</v>
      </c>
      <c r="D10" s="18">
        <v>57000</v>
      </c>
    </row>
    <row r="11" spans="1:5" x14ac:dyDescent="0.25">
      <c r="A11" s="8" t="s">
        <v>20</v>
      </c>
      <c r="B11" s="17" t="s">
        <v>551</v>
      </c>
      <c r="C11" s="9" t="s">
        <v>5</v>
      </c>
      <c r="D11" s="18">
        <v>90000</v>
      </c>
    </row>
    <row r="12" spans="1:5" x14ac:dyDescent="0.25">
      <c r="A12" s="8" t="s">
        <v>21</v>
      </c>
      <c r="B12" s="17" t="s">
        <v>22</v>
      </c>
      <c r="C12" s="9" t="s">
        <v>23</v>
      </c>
      <c r="D12" s="18">
        <v>100000</v>
      </c>
    </row>
    <row r="13" spans="1:5" x14ac:dyDescent="0.25">
      <c r="A13" s="8" t="s">
        <v>24</v>
      </c>
      <c r="B13" s="17" t="s">
        <v>25</v>
      </c>
      <c r="C13" s="9" t="s">
        <v>23</v>
      </c>
      <c r="D13" s="18">
        <v>28000</v>
      </c>
    </row>
    <row r="14" spans="1:5" x14ac:dyDescent="0.25">
      <c r="A14" s="8" t="s">
        <v>26</v>
      </c>
      <c r="B14" s="17" t="s">
        <v>27</v>
      </c>
      <c r="C14" s="9" t="s">
        <v>5</v>
      </c>
      <c r="D14" s="18">
        <v>4000</v>
      </c>
    </row>
    <row r="15" spans="1:5" x14ac:dyDescent="0.25">
      <c r="A15" s="8" t="s">
        <v>28</v>
      </c>
      <c r="B15" s="17" t="s">
        <v>29</v>
      </c>
      <c r="C15" s="9" t="s">
        <v>30</v>
      </c>
      <c r="D15" s="18">
        <v>50000</v>
      </c>
    </row>
    <row r="16" spans="1:5" x14ac:dyDescent="0.25">
      <c r="A16" s="8" t="s">
        <v>31</v>
      </c>
      <c r="B16" s="17" t="s">
        <v>32</v>
      </c>
      <c r="C16" s="9" t="s">
        <v>2</v>
      </c>
      <c r="D16" s="18">
        <v>46000</v>
      </c>
    </row>
    <row r="17" spans="1:4" x14ac:dyDescent="0.25">
      <c r="A17" s="8" t="s">
        <v>33</v>
      </c>
      <c r="B17" s="17" t="s">
        <v>34</v>
      </c>
      <c r="C17" s="9" t="s">
        <v>5</v>
      </c>
      <c r="D17" s="18">
        <v>26500</v>
      </c>
    </row>
    <row r="18" spans="1:4" x14ac:dyDescent="0.25">
      <c r="A18" s="8" t="s">
        <v>35</v>
      </c>
      <c r="B18" s="17" t="s">
        <v>36</v>
      </c>
      <c r="C18" s="9" t="s">
        <v>23</v>
      </c>
      <c r="D18" s="18">
        <v>35000</v>
      </c>
    </row>
    <row r="19" spans="1:4" ht="78.75" x14ac:dyDescent="0.25">
      <c r="A19" s="59" t="s">
        <v>37</v>
      </c>
      <c r="B19" s="41" t="s">
        <v>38</v>
      </c>
      <c r="C19" s="34" t="s">
        <v>5</v>
      </c>
      <c r="D19" s="60">
        <v>20305</v>
      </c>
    </row>
    <row r="20" spans="1:4" x14ac:dyDescent="0.25">
      <c r="A20" s="56" t="s">
        <v>39</v>
      </c>
      <c r="B20" s="57" t="s">
        <v>40</v>
      </c>
      <c r="C20" s="9" t="s">
        <v>2</v>
      </c>
      <c r="D20" s="58">
        <v>166.6</v>
      </c>
    </row>
    <row r="21" spans="1:4" x14ac:dyDescent="0.25">
      <c r="A21" s="56" t="s">
        <v>41</v>
      </c>
      <c r="B21" s="57" t="s">
        <v>42</v>
      </c>
      <c r="C21" s="9" t="s">
        <v>2</v>
      </c>
      <c r="D21" s="58">
        <v>166.6</v>
      </c>
    </row>
    <row r="22" spans="1:4" x14ac:dyDescent="0.25">
      <c r="A22" s="56" t="s">
        <v>43</v>
      </c>
      <c r="B22" s="57" t="s">
        <v>44</v>
      </c>
      <c r="C22" s="9" t="s">
        <v>2</v>
      </c>
      <c r="D22" s="58">
        <v>202.3</v>
      </c>
    </row>
    <row r="23" spans="1:4" x14ac:dyDescent="0.25">
      <c r="A23" s="56" t="s">
        <v>45</v>
      </c>
      <c r="B23" s="57" t="s">
        <v>46</v>
      </c>
      <c r="C23" s="9" t="s">
        <v>2</v>
      </c>
      <c r="D23" s="58">
        <v>297.5</v>
      </c>
    </row>
    <row r="24" spans="1:4" x14ac:dyDescent="0.25">
      <c r="A24" s="56" t="s">
        <v>47</v>
      </c>
      <c r="B24" s="57" t="s">
        <v>48</v>
      </c>
      <c r="C24" s="9" t="s">
        <v>2</v>
      </c>
      <c r="D24" s="58">
        <v>133.28</v>
      </c>
    </row>
    <row r="25" spans="1:4" x14ac:dyDescent="0.25">
      <c r="A25" s="56" t="s">
        <v>49</v>
      </c>
      <c r="B25" s="57" t="s">
        <v>50</v>
      </c>
      <c r="C25" s="9" t="s">
        <v>5</v>
      </c>
      <c r="D25" s="58">
        <v>3450</v>
      </c>
    </row>
    <row r="26" spans="1:4" x14ac:dyDescent="0.25">
      <c r="B26" s="108" t="s">
        <v>616</v>
      </c>
      <c r="C26" s="109" t="s">
        <v>5</v>
      </c>
      <c r="D26" s="15">
        <v>10000</v>
      </c>
    </row>
    <row r="27" spans="1:4" x14ac:dyDescent="0.25">
      <c r="B27" s="108" t="s">
        <v>629</v>
      </c>
      <c r="C27" s="109" t="s">
        <v>5</v>
      </c>
      <c r="D27" s="15">
        <v>1500</v>
      </c>
    </row>
    <row r="28" spans="1:4" x14ac:dyDescent="0.25">
      <c r="B28" s="108" t="s">
        <v>632</v>
      </c>
      <c r="C28" s="109" t="s">
        <v>55</v>
      </c>
      <c r="D28" s="15">
        <v>14000</v>
      </c>
    </row>
    <row r="512" spans="3:3" x14ac:dyDescent="0.25">
      <c r="C512" t="e">
        <v>#VALUE!</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11"/>
  <sheetViews>
    <sheetView workbookViewId="0">
      <selection activeCell="A2" sqref="A2"/>
    </sheetView>
  </sheetViews>
  <sheetFormatPr baseColWidth="10" defaultColWidth="11.42578125" defaultRowHeight="15" x14ac:dyDescent="0.25"/>
  <cols>
    <col min="2" max="2" width="21.28515625" bestFit="1" customWidth="1"/>
    <col min="4" max="5" width="13" bestFit="1" customWidth="1"/>
  </cols>
  <sheetData>
    <row r="1" spans="1:5" x14ac:dyDescent="0.25">
      <c r="A1" s="1" t="s">
        <v>66</v>
      </c>
      <c r="B1" s="1" t="s">
        <v>535</v>
      </c>
      <c r="C1" s="1" t="s">
        <v>536</v>
      </c>
      <c r="D1" s="2" t="s">
        <v>537</v>
      </c>
    </row>
    <row r="2" spans="1:5" x14ac:dyDescent="0.25">
      <c r="A2" s="3" t="s">
        <v>526</v>
      </c>
      <c r="B2" s="4" t="s">
        <v>528</v>
      </c>
      <c r="C2" s="5" t="s">
        <v>529</v>
      </c>
      <c r="D2" s="7">
        <v>47982</v>
      </c>
    </row>
    <row r="3" spans="1:5" x14ac:dyDescent="0.25">
      <c r="A3" s="3" t="s">
        <v>527</v>
      </c>
      <c r="B3" s="4" t="s">
        <v>530</v>
      </c>
      <c r="C3" s="5" t="s">
        <v>529</v>
      </c>
      <c r="D3" s="7">
        <v>28981.77</v>
      </c>
    </row>
    <row r="4" spans="1:5" x14ac:dyDescent="0.25">
      <c r="A4" s="10" t="s">
        <v>538</v>
      </c>
      <c r="B4" s="11" t="s">
        <v>523</v>
      </c>
      <c r="C4" s="5" t="s">
        <v>529</v>
      </c>
      <c r="D4" s="6">
        <v>66744.002277255873</v>
      </c>
    </row>
    <row r="5" spans="1:5" x14ac:dyDescent="0.25">
      <c r="A5" s="10" t="s">
        <v>539</v>
      </c>
      <c r="B5" s="11" t="s">
        <v>525</v>
      </c>
      <c r="C5" s="5" t="s">
        <v>529</v>
      </c>
      <c r="D5" s="6">
        <v>35412.274409336766</v>
      </c>
    </row>
    <row r="6" spans="1:5" x14ac:dyDescent="0.25">
      <c r="A6" s="3" t="s">
        <v>540</v>
      </c>
      <c r="B6" t="s">
        <v>541</v>
      </c>
      <c r="C6" s="5" t="s">
        <v>529</v>
      </c>
      <c r="D6" s="19">
        <v>123040</v>
      </c>
    </row>
    <row r="7" spans="1:5" x14ac:dyDescent="0.25">
      <c r="C7" s="5"/>
    </row>
    <row r="8" spans="1:5" x14ac:dyDescent="0.25">
      <c r="A8" s="3" t="s">
        <v>542</v>
      </c>
      <c r="B8" t="s">
        <v>543</v>
      </c>
      <c r="C8" s="5" t="s">
        <v>529</v>
      </c>
      <c r="D8" s="15">
        <v>64960</v>
      </c>
      <c r="E8" s="16"/>
    </row>
    <row r="9" spans="1:5" x14ac:dyDescent="0.25">
      <c r="A9" s="3" t="s">
        <v>544</v>
      </c>
      <c r="B9" t="s">
        <v>545</v>
      </c>
      <c r="C9" s="5" t="s">
        <v>529</v>
      </c>
      <c r="D9" s="15">
        <v>50524</v>
      </c>
      <c r="E9" s="16"/>
    </row>
    <row r="10" spans="1:5" x14ac:dyDescent="0.25">
      <c r="A10" s="3" t="s">
        <v>546</v>
      </c>
      <c r="B10" t="s">
        <v>547</v>
      </c>
      <c r="C10" s="5" t="s">
        <v>529</v>
      </c>
      <c r="D10" s="15">
        <v>36089</v>
      </c>
      <c r="E10" s="16"/>
    </row>
    <row r="11" spans="1:5" x14ac:dyDescent="0.25">
      <c r="A11" s="3" t="s">
        <v>548</v>
      </c>
      <c r="B11" t="s">
        <v>549</v>
      </c>
      <c r="C11" s="5" t="s">
        <v>529</v>
      </c>
      <c r="D11" s="15">
        <v>108267</v>
      </c>
      <c r="E11" s="1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1:O1268"/>
  <sheetViews>
    <sheetView view="pageBreakPreview" topLeftCell="A1215" zoomScaleNormal="55" zoomScaleSheetLayoutView="100" workbookViewId="0">
      <selection activeCell="K1222" sqref="K1222"/>
    </sheetView>
  </sheetViews>
  <sheetFormatPr baseColWidth="10" defaultColWidth="11.42578125" defaultRowHeight="12.75" x14ac:dyDescent="0.25"/>
  <cols>
    <col min="1" max="2" width="3" style="117" customWidth="1"/>
    <col min="3" max="3" width="11.42578125" style="117"/>
    <col min="4" max="4" width="12.42578125" style="140" bestFit="1" customWidth="1"/>
    <col min="5" max="6" width="11.42578125" style="117"/>
    <col min="7" max="7" width="19.7109375" style="117" customWidth="1"/>
    <col min="8" max="8" width="12.85546875" style="117" bestFit="1" customWidth="1"/>
    <col min="9" max="9" width="11.42578125" style="117"/>
    <col min="10" max="10" width="15.7109375" style="117" bestFit="1" customWidth="1"/>
    <col min="11" max="11" width="14.28515625" style="117" customWidth="1"/>
    <col min="12" max="12" width="15.7109375" style="117" bestFit="1" customWidth="1"/>
    <col min="13" max="13" width="3.140625" style="117" customWidth="1"/>
    <col min="14" max="14" width="17.42578125" style="117" customWidth="1"/>
    <col min="15" max="15" width="13.28515625" style="117" bestFit="1" customWidth="1"/>
    <col min="16" max="16384" width="11.42578125" style="117"/>
  </cols>
  <sheetData>
    <row r="1" spans="3:12" hidden="1" x14ac:dyDescent="0.25"/>
    <row r="2" spans="3:12" ht="13.5" hidden="1" thickBot="1" x14ac:dyDescent="0.3"/>
    <row r="3" spans="3:12" s="116" customFormat="1" hidden="1" x14ac:dyDescent="0.25">
      <c r="C3" s="466" t="s">
        <v>495</v>
      </c>
      <c r="D3" s="467"/>
      <c r="E3" s="467"/>
      <c r="F3" s="467"/>
      <c r="G3" s="467"/>
      <c r="H3" s="467"/>
      <c r="I3" s="467"/>
      <c r="J3" s="467"/>
      <c r="K3" s="467"/>
      <c r="L3" s="468"/>
    </row>
    <row r="4" spans="3:12" s="116" customFormat="1" hidden="1" x14ac:dyDescent="0.25">
      <c r="C4" s="469" t="str">
        <f>+PPTO!A2</f>
        <v>REPOSICION E INSTALACION VALVULAS DE SECTORIZACION EN DIFERENTES SECTORES DEL MUNICIPIO DE PIEDECUESTA - SANTANDER.</v>
      </c>
      <c r="D4" s="470"/>
      <c r="E4" s="470"/>
      <c r="F4" s="470"/>
      <c r="G4" s="470"/>
      <c r="H4" s="470"/>
      <c r="I4" s="470"/>
      <c r="J4" s="470"/>
      <c r="K4" s="470"/>
      <c r="L4" s="471"/>
    </row>
    <row r="5" spans="3:12" hidden="1" x14ac:dyDescent="0.25">
      <c r="C5" s="472" t="s">
        <v>496</v>
      </c>
      <c r="D5" s="141">
        <f>+PPTO!A4</f>
        <v>1</v>
      </c>
      <c r="E5" s="474" t="str">
        <f>+PPTO!B4</f>
        <v>PRELIMINARES</v>
      </c>
      <c r="F5" s="475"/>
      <c r="G5" s="475"/>
      <c r="H5" s="475"/>
      <c r="I5" s="475"/>
      <c r="J5" s="475"/>
      <c r="K5" s="475"/>
      <c r="L5" s="70" t="s">
        <v>52</v>
      </c>
    </row>
    <row r="6" spans="3:12" ht="13.5" hidden="1" thickBot="1" x14ac:dyDescent="0.3">
      <c r="C6" s="473"/>
      <c r="D6" s="120">
        <f>+PPTO!A5</f>
        <v>1.01</v>
      </c>
      <c r="E6" s="476" t="str">
        <f>+PPTO!B5</f>
        <v>Localización y replanteo</v>
      </c>
      <c r="F6" s="476"/>
      <c r="G6" s="476"/>
      <c r="H6" s="476"/>
      <c r="I6" s="476"/>
      <c r="J6" s="476"/>
      <c r="K6" s="476"/>
      <c r="L6" s="71" t="str">
        <f>+PPTO!C5</f>
        <v>M2</v>
      </c>
    </row>
    <row r="7" spans="3:12" ht="13.5" hidden="1" thickBot="1" x14ac:dyDescent="0.3">
      <c r="C7" s="477"/>
      <c r="D7" s="478"/>
      <c r="E7" s="478"/>
      <c r="F7" s="478"/>
      <c r="G7" s="478"/>
      <c r="H7" s="478"/>
      <c r="I7" s="478"/>
      <c r="J7" s="478"/>
      <c r="K7" s="478"/>
      <c r="L7" s="479"/>
    </row>
    <row r="8" spans="3:12" hidden="1" x14ac:dyDescent="0.25">
      <c r="C8" s="466" t="s">
        <v>497</v>
      </c>
      <c r="D8" s="467"/>
      <c r="E8" s="467"/>
      <c r="F8" s="467"/>
      <c r="G8" s="467"/>
      <c r="H8" s="467"/>
      <c r="I8" s="467"/>
      <c r="J8" s="467"/>
      <c r="K8" s="467"/>
      <c r="L8" s="468"/>
    </row>
    <row r="9" spans="3:12" hidden="1" x14ac:dyDescent="0.25">
      <c r="C9" s="72" t="s">
        <v>66</v>
      </c>
      <c r="D9" s="492" t="s">
        <v>498</v>
      </c>
      <c r="E9" s="492"/>
      <c r="F9" s="492"/>
      <c r="G9" s="492"/>
      <c r="H9" s="492"/>
      <c r="I9" s="73" t="s">
        <v>499</v>
      </c>
      <c r="J9" s="74" t="s">
        <v>500</v>
      </c>
      <c r="K9" s="73" t="s">
        <v>501</v>
      </c>
      <c r="L9" s="70" t="s">
        <v>502</v>
      </c>
    </row>
    <row r="10" spans="3:12" hidden="1" x14ac:dyDescent="0.25">
      <c r="C10" s="75"/>
      <c r="D10" s="460"/>
      <c r="E10" s="499"/>
      <c r="F10" s="499"/>
      <c r="G10" s="499"/>
      <c r="H10" s="461"/>
      <c r="I10" s="76"/>
      <c r="J10" s="76"/>
      <c r="K10" s="77"/>
      <c r="L10" s="78"/>
    </row>
    <row r="11" spans="3:12" hidden="1" x14ac:dyDescent="0.25">
      <c r="C11" s="79"/>
      <c r="D11" s="493" t="s">
        <v>503</v>
      </c>
      <c r="E11" s="493"/>
      <c r="F11" s="493"/>
      <c r="G11" s="493"/>
      <c r="H11" s="493"/>
      <c r="I11" s="76" t="s">
        <v>61</v>
      </c>
      <c r="J11" s="80">
        <v>1</v>
      </c>
      <c r="K11" s="81">
        <f>L36*0.1</f>
        <v>89.718507000000002</v>
      </c>
      <c r="L11" s="82">
        <f>K11/J11</f>
        <v>89.718507000000002</v>
      </c>
    </row>
    <row r="12" spans="3:12" hidden="1" x14ac:dyDescent="0.25">
      <c r="C12" s="79" t="s">
        <v>0</v>
      </c>
      <c r="D12" s="493" t="str">
        <f>EQUIPO!B2</f>
        <v>Equipos de topografía</v>
      </c>
      <c r="E12" s="493"/>
      <c r="F12" s="493"/>
      <c r="G12" s="493"/>
      <c r="H12" s="493"/>
      <c r="I12" s="76" t="str">
        <f>EQUIPO!C2</f>
        <v>día</v>
      </c>
      <c r="J12" s="76">
        <v>200</v>
      </c>
      <c r="K12" s="81">
        <f>EQUIPO!D2</f>
        <v>150000</v>
      </c>
      <c r="L12" s="82">
        <f>K12/J12</f>
        <v>750</v>
      </c>
    </row>
    <row r="13" spans="3:12" s="116" customFormat="1" ht="13.5" hidden="1" thickBot="1" x14ac:dyDescent="0.3">
      <c r="C13" s="83"/>
      <c r="D13" s="485" t="s">
        <v>504</v>
      </c>
      <c r="E13" s="485"/>
      <c r="F13" s="485"/>
      <c r="G13" s="485"/>
      <c r="H13" s="485"/>
      <c r="I13" s="485"/>
      <c r="J13" s="485"/>
      <c r="K13" s="485"/>
      <c r="L13" s="84">
        <f>L11+L12</f>
        <v>839.71850700000005</v>
      </c>
    </row>
    <row r="14" spans="3:12" s="116" customFormat="1" ht="13.5" hidden="1" thickBot="1" x14ac:dyDescent="0.3">
      <c r="C14" s="477"/>
      <c r="D14" s="478"/>
      <c r="E14" s="478"/>
      <c r="F14" s="478"/>
      <c r="G14" s="478"/>
      <c r="H14" s="478"/>
      <c r="I14" s="478"/>
      <c r="J14" s="478"/>
      <c r="K14" s="478"/>
      <c r="L14" s="479"/>
    </row>
    <row r="15" spans="3:12" hidden="1" x14ac:dyDescent="0.25">
      <c r="C15" s="466" t="s">
        <v>505</v>
      </c>
      <c r="D15" s="467"/>
      <c r="E15" s="467"/>
      <c r="F15" s="467"/>
      <c r="G15" s="467"/>
      <c r="H15" s="467"/>
      <c r="I15" s="467"/>
      <c r="J15" s="467"/>
      <c r="K15" s="467"/>
      <c r="L15" s="468"/>
    </row>
    <row r="16" spans="3:12" ht="25.5" hidden="1" x14ac:dyDescent="0.25">
      <c r="C16" s="72" t="s">
        <v>66</v>
      </c>
      <c r="D16" s="492" t="s">
        <v>498</v>
      </c>
      <c r="E16" s="492"/>
      <c r="F16" s="492"/>
      <c r="G16" s="492"/>
      <c r="H16" s="73" t="s">
        <v>499</v>
      </c>
      <c r="I16" s="74" t="s">
        <v>506</v>
      </c>
      <c r="J16" s="73" t="s">
        <v>501</v>
      </c>
      <c r="K16" s="85" t="s">
        <v>507</v>
      </c>
      <c r="L16" s="70" t="s">
        <v>502</v>
      </c>
    </row>
    <row r="17" spans="3:12" hidden="1" x14ac:dyDescent="0.25">
      <c r="C17" s="72" t="str">
        <f>MATERIALES!A192</f>
        <v>MAT-169</v>
      </c>
      <c r="D17" s="498" t="str">
        <f>MATERIALES!B192</f>
        <v>Pintura esmalte</v>
      </c>
      <c r="E17" s="496"/>
      <c r="F17" s="496"/>
      <c r="G17" s="497"/>
      <c r="H17" s="73" t="str">
        <f>MATERIALES!C192</f>
        <v>Gln</v>
      </c>
      <c r="I17" s="76">
        <v>1.4284615384615383E-2</v>
      </c>
      <c r="J17" s="86">
        <f>MATERIALES!D192</f>
        <v>65000</v>
      </c>
      <c r="K17" s="87">
        <v>0</v>
      </c>
      <c r="L17" s="88">
        <f>I17*J17*(1+K17)</f>
        <v>928.49999999999989</v>
      </c>
    </row>
    <row r="18" spans="3:12" hidden="1" x14ac:dyDescent="0.25">
      <c r="C18" s="72" t="str">
        <f>MATERIALES!A193</f>
        <v>MAT-170</v>
      </c>
      <c r="D18" s="498" t="str">
        <f>MATERIALES!B193</f>
        <v>Puntilla con cabeza 2.</v>
      </c>
      <c r="E18" s="496"/>
      <c r="F18" s="496"/>
      <c r="G18" s="497"/>
      <c r="H18" s="73" t="str">
        <f>MATERIALES!C193</f>
        <v>Lb</v>
      </c>
      <c r="I18" s="76">
        <v>0.01</v>
      </c>
      <c r="J18" s="86">
        <f>MATERIALES!D193</f>
        <v>2450</v>
      </c>
      <c r="K18" s="87">
        <v>0</v>
      </c>
      <c r="L18" s="88">
        <f>I18*J18*(1+K18)</f>
        <v>24.5</v>
      </c>
    </row>
    <row r="19" spans="3:12" hidden="1" x14ac:dyDescent="0.25">
      <c r="C19" s="72" t="str">
        <f>MATERIALES!A194</f>
        <v>MAT-171</v>
      </c>
      <c r="D19" s="498" t="str">
        <f>MATERIALES!B194</f>
        <v>Estaca de madera</v>
      </c>
      <c r="E19" s="496"/>
      <c r="F19" s="496"/>
      <c r="G19" s="497"/>
      <c r="H19" s="73" t="str">
        <f>MATERIALES!C194</f>
        <v>Und.</v>
      </c>
      <c r="I19" s="76">
        <v>0.1</v>
      </c>
      <c r="J19" s="86">
        <f>MATERIALES!D194</f>
        <v>1100</v>
      </c>
      <c r="K19" s="87">
        <v>0</v>
      </c>
      <c r="L19" s="88">
        <f>I19*J19*(1+K19)</f>
        <v>110</v>
      </c>
    </row>
    <row r="20" spans="3:12" hidden="1" x14ac:dyDescent="0.25">
      <c r="C20" s="72"/>
      <c r="D20" s="460"/>
      <c r="E20" s="499"/>
      <c r="F20" s="499"/>
      <c r="G20" s="461"/>
      <c r="H20" s="73"/>
      <c r="I20" s="76"/>
      <c r="J20" s="86"/>
      <c r="K20" s="87"/>
      <c r="L20" s="88"/>
    </row>
    <row r="21" spans="3:12" hidden="1" x14ac:dyDescent="0.25">
      <c r="C21" s="90"/>
      <c r="D21" s="500"/>
      <c r="E21" s="500"/>
      <c r="F21" s="500"/>
      <c r="G21" s="500"/>
      <c r="H21" s="97"/>
      <c r="I21" s="91"/>
      <c r="J21" s="92"/>
      <c r="K21" s="93"/>
      <c r="L21" s="82"/>
    </row>
    <row r="22" spans="3:12" ht="13.5" hidden="1" thickBot="1" x14ac:dyDescent="0.3">
      <c r="C22" s="94"/>
      <c r="D22" s="485" t="s">
        <v>508</v>
      </c>
      <c r="E22" s="485"/>
      <c r="F22" s="485"/>
      <c r="G22" s="485"/>
      <c r="H22" s="485"/>
      <c r="I22" s="485"/>
      <c r="J22" s="485"/>
      <c r="K22" s="485"/>
      <c r="L22" s="84">
        <f>SUM(L17:L21)</f>
        <v>1063</v>
      </c>
    </row>
    <row r="23" spans="3:12" ht="13.5" hidden="1" thickBot="1" x14ac:dyDescent="0.3">
      <c r="C23" s="486"/>
      <c r="D23" s="487"/>
      <c r="E23" s="487"/>
      <c r="F23" s="487"/>
      <c r="G23" s="487"/>
      <c r="H23" s="487"/>
      <c r="I23" s="487"/>
      <c r="J23" s="487"/>
      <c r="K23" s="487"/>
      <c r="L23" s="488"/>
    </row>
    <row r="24" spans="3:12" hidden="1" x14ac:dyDescent="0.25">
      <c r="C24" s="466" t="s">
        <v>509</v>
      </c>
      <c r="D24" s="467"/>
      <c r="E24" s="467"/>
      <c r="F24" s="467"/>
      <c r="G24" s="467"/>
      <c r="H24" s="467"/>
      <c r="I24" s="467"/>
      <c r="J24" s="467"/>
      <c r="K24" s="467"/>
      <c r="L24" s="468"/>
    </row>
    <row r="25" spans="3:12" hidden="1" x14ac:dyDescent="0.25">
      <c r="C25" s="72" t="s">
        <v>66</v>
      </c>
      <c r="D25" s="492" t="s">
        <v>498</v>
      </c>
      <c r="E25" s="492"/>
      <c r="F25" s="492"/>
      <c r="G25" s="492"/>
      <c r="H25" s="73" t="s">
        <v>506</v>
      </c>
      <c r="I25" s="73" t="s">
        <v>499</v>
      </c>
      <c r="J25" s="74" t="s">
        <v>510</v>
      </c>
      <c r="K25" s="85" t="s">
        <v>511</v>
      </c>
      <c r="L25" s="70" t="s">
        <v>502</v>
      </c>
    </row>
    <row r="26" spans="3:12" hidden="1" x14ac:dyDescent="0.25">
      <c r="C26" s="90"/>
      <c r="D26" s="493"/>
      <c r="E26" s="493"/>
      <c r="F26" s="493"/>
      <c r="G26" s="493"/>
      <c r="H26" s="76"/>
      <c r="I26" s="97"/>
      <c r="J26" s="97"/>
      <c r="K26" s="95"/>
      <c r="L26" s="96"/>
    </row>
    <row r="27" spans="3:12" hidden="1" x14ac:dyDescent="0.25">
      <c r="C27" s="90"/>
      <c r="D27" s="495"/>
      <c r="E27" s="495"/>
      <c r="F27" s="495"/>
      <c r="G27" s="495"/>
      <c r="H27" s="76"/>
      <c r="I27" s="97"/>
      <c r="J27" s="97"/>
      <c r="K27" s="95"/>
      <c r="L27" s="96"/>
    </row>
    <row r="28" spans="3:12" hidden="1" x14ac:dyDescent="0.25">
      <c r="C28" s="90"/>
      <c r="D28" s="495"/>
      <c r="E28" s="495"/>
      <c r="F28" s="495"/>
      <c r="G28" s="495"/>
      <c r="H28" s="76"/>
      <c r="I28" s="97"/>
      <c r="J28" s="97"/>
      <c r="K28" s="95"/>
      <c r="L28" s="96"/>
    </row>
    <row r="29" spans="3:12" s="116" customFormat="1" ht="13.5" hidden="1" thickBot="1" x14ac:dyDescent="0.3">
      <c r="C29" s="83"/>
      <c r="D29" s="485" t="s">
        <v>512</v>
      </c>
      <c r="E29" s="485"/>
      <c r="F29" s="485"/>
      <c r="G29" s="485"/>
      <c r="H29" s="485"/>
      <c r="I29" s="485"/>
      <c r="J29" s="485"/>
      <c r="K29" s="485"/>
      <c r="L29" s="98">
        <f>L26</f>
        <v>0</v>
      </c>
    </row>
    <row r="30" spans="3:12" s="116" customFormat="1" ht="13.5" hidden="1" thickBot="1" x14ac:dyDescent="0.3">
      <c r="C30" s="477"/>
      <c r="D30" s="478"/>
      <c r="E30" s="478"/>
      <c r="F30" s="478"/>
      <c r="G30" s="478"/>
      <c r="H30" s="478"/>
      <c r="I30" s="478"/>
      <c r="J30" s="478"/>
      <c r="K30" s="478"/>
      <c r="L30" s="479"/>
    </row>
    <row r="31" spans="3:12" hidden="1" x14ac:dyDescent="0.25">
      <c r="C31" s="466" t="s">
        <v>513</v>
      </c>
      <c r="D31" s="467"/>
      <c r="E31" s="467"/>
      <c r="F31" s="467"/>
      <c r="G31" s="467"/>
      <c r="H31" s="467"/>
      <c r="I31" s="467"/>
      <c r="J31" s="467"/>
      <c r="K31" s="467"/>
      <c r="L31" s="468"/>
    </row>
    <row r="32" spans="3:12" hidden="1" x14ac:dyDescent="0.25">
      <c r="C32" s="72" t="s">
        <v>66</v>
      </c>
      <c r="D32" s="492" t="s">
        <v>498</v>
      </c>
      <c r="E32" s="492"/>
      <c r="F32" s="85" t="s">
        <v>499</v>
      </c>
      <c r="G32" s="85" t="s">
        <v>506</v>
      </c>
      <c r="H32" s="73" t="s">
        <v>514</v>
      </c>
      <c r="I32" s="99" t="s">
        <v>515</v>
      </c>
      <c r="J32" s="85" t="s">
        <v>516</v>
      </c>
      <c r="K32" s="99" t="s">
        <v>517</v>
      </c>
      <c r="L32" s="100" t="s">
        <v>502</v>
      </c>
    </row>
    <row r="33" spans="3:12" hidden="1" x14ac:dyDescent="0.25">
      <c r="C33" s="79" t="s">
        <v>522</v>
      </c>
      <c r="D33" s="460" t="s">
        <v>523</v>
      </c>
      <c r="E33" s="461"/>
      <c r="F33" s="97" t="str">
        <f>'MANO DE OBRA'!$C$2</f>
        <v>DIA</v>
      </c>
      <c r="G33" s="76">
        <v>1</v>
      </c>
      <c r="H33" s="101">
        <v>66744</v>
      </c>
      <c r="I33" s="102">
        <v>0.75649999999999995</v>
      </c>
      <c r="J33" s="103">
        <f>(H33+(H33*I33))</f>
        <v>117235.836</v>
      </c>
      <c r="K33" s="76">
        <v>200</v>
      </c>
      <c r="L33" s="96">
        <f>G33*(J33/K33)</f>
        <v>586.17917999999997</v>
      </c>
    </row>
    <row r="34" spans="3:12" hidden="1" x14ac:dyDescent="0.25">
      <c r="C34" s="79" t="s">
        <v>524</v>
      </c>
      <c r="D34" s="460" t="s">
        <v>525</v>
      </c>
      <c r="E34" s="461"/>
      <c r="F34" s="97" t="str">
        <f>'MANO DE OBRA'!$C$3</f>
        <v>DIA</v>
      </c>
      <c r="G34" s="76">
        <v>1</v>
      </c>
      <c r="H34" s="101">
        <v>35412</v>
      </c>
      <c r="I34" s="102">
        <v>0.75649999999999995</v>
      </c>
      <c r="J34" s="103">
        <f>(H34+(H34*I34))</f>
        <v>62201.178</v>
      </c>
      <c r="K34" s="76">
        <v>200</v>
      </c>
      <c r="L34" s="96">
        <f>G34*(J34/K34)</f>
        <v>311.00589000000002</v>
      </c>
    </row>
    <row r="35" spans="3:12" hidden="1" x14ac:dyDescent="0.25">
      <c r="C35" s="90"/>
      <c r="D35" s="493"/>
      <c r="E35" s="493"/>
      <c r="F35" s="97"/>
      <c r="G35" s="76"/>
      <c r="H35" s="101"/>
      <c r="I35" s="102"/>
      <c r="J35" s="103"/>
      <c r="K35" s="76"/>
      <c r="L35" s="96"/>
    </row>
    <row r="36" spans="3:12" s="116" customFormat="1" ht="13.5" hidden="1" thickBot="1" x14ac:dyDescent="0.3">
      <c r="C36" s="83"/>
      <c r="D36" s="485" t="s">
        <v>520</v>
      </c>
      <c r="E36" s="485"/>
      <c r="F36" s="485"/>
      <c r="G36" s="485"/>
      <c r="H36" s="485"/>
      <c r="I36" s="485"/>
      <c r="J36" s="485"/>
      <c r="K36" s="485"/>
      <c r="L36" s="98">
        <f>L34+L33</f>
        <v>897.18507</v>
      </c>
    </row>
    <row r="37" spans="3:12" ht="13.5" hidden="1" thickBot="1" x14ac:dyDescent="0.3">
      <c r="C37" s="486"/>
      <c r="D37" s="487"/>
      <c r="E37" s="487"/>
      <c r="F37" s="487"/>
      <c r="G37" s="487"/>
      <c r="H37" s="487"/>
      <c r="I37" s="487"/>
      <c r="J37" s="487"/>
      <c r="K37" s="487"/>
      <c r="L37" s="488"/>
    </row>
    <row r="38" spans="3:12" ht="13.5" hidden="1" thickBot="1" x14ac:dyDescent="0.3">
      <c r="C38" s="489" t="s">
        <v>521</v>
      </c>
      <c r="D38" s="490"/>
      <c r="E38" s="490"/>
      <c r="F38" s="490"/>
      <c r="G38" s="490"/>
      <c r="H38" s="490"/>
      <c r="I38" s="490"/>
      <c r="J38" s="491"/>
      <c r="K38" s="145">
        <f>ROUND(L36+L29+L22+L13,0)</f>
        <v>2800</v>
      </c>
      <c r="L38" s="146"/>
    </row>
    <row r="39" spans="3:12" hidden="1" x14ac:dyDescent="0.25"/>
    <row r="40" spans="3:12" hidden="1" x14ac:dyDescent="0.25"/>
    <row r="41" spans="3:12" hidden="1" x14ac:dyDescent="0.25">
      <c r="C41" s="466" t="s">
        <v>495</v>
      </c>
      <c r="D41" s="467"/>
      <c r="E41" s="467"/>
      <c r="F41" s="467"/>
      <c r="G41" s="467"/>
      <c r="H41" s="467"/>
      <c r="I41" s="467"/>
      <c r="J41" s="467"/>
      <c r="K41" s="467"/>
      <c r="L41" s="468"/>
    </row>
    <row r="42" spans="3:12" hidden="1" x14ac:dyDescent="0.25">
      <c r="C42" s="469" t="str">
        <f>+PPTO!A2</f>
        <v>REPOSICION E INSTALACION VALVULAS DE SECTORIZACION EN DIFERENTES SECTORES DEL MUNICIPIO DE PIEDECUESTA - SANTANDER.</v>
      </c>
      <c r="D42" s="470"/>
      <c r="E42" s="470"/>
      <c r="F42" s="470"/>
      <c r="G42" s="470"/>
      <c r="H42" s="470"/>
      <c r="I42" s="470"/>
      <c r="J42" s="470"/>
      <c r="K42" s="470"/>
      <c r="L42" s="471"/>
    </row>
    <row r="43" spans="3:12" hidden="1" x14ac:dyDescent="0.25">
      <c r="C43" s="472" t="s">
        <v>496</v>
      </c>
      <c r="D43" s="141">
        <f>+PPTO!A4</f>
        <v>1</v>
      </c>
      <c r="E43" s="474" t="str">
        <f>+PPTO!B4</f>
        <v>PRELIMINARES</v>
      </c>
      <c r="F43" s="475"/>
      <c r="G43" s="475"/>
      <c r="H43" s="475"/>
      <c r="I43" s="475"/>
      <c r="J43" s="475"/>
      <c r="K43" s="475"/>
      <c r="L43" s="70" t="s">
        <v>52</v>
      </c>
    </row>
    <row r="44" spans="3:12" ht="13.5" hidden="1" thickBot="1" x14ac:dyDescent="0.3">
      <c r="C44" s="473"/>
      <c r="D44" s="120">
        <f>+PPTO!A6</f>
        <v>1.21</v>
      </c>
      <c r="E44" s="476" t="str">
        <f>+PPTO!B6</f>
        <v>Señalización preventiva</v>
      </c>
      <c r="F44" s="476"/>
      <c r="G44" s="476"/>
      <c r="H44" s="476"/>
      <c r="I44" s="476"/>
      <c r="J44" s="476"/>
      <c r="K44" s="476"/>
      <c r="L44" s="71" t="str">
        <f>+PPTO!C6</f>
        <v>M2</v>
      </c>
    </row>
    <row r="45" spans="3:12" ht="13.5" hidden="1" thickBot="1" x14ac:dyDescent="0.3">
      <c r="C45" s="477"/>
      <c r="D45" s="478"/>
      <c r="E45" s="478"/>
      <c r="F45" s="478"/>
      <c r="G45" s="478"/>
      <c r="H45" s="478"/>
      <c r="I45" s="478"/>
      <c r="J45" s="478"/>
      <c r="K45" s="478"/>
      <c r="L45" s="479"/>
    </row>
    <row r="46" spans="3:12" hidden="1" x14ac:dyDescent="0.25">
      <c r="C46" s="466" t="s">
        <v>497</v>
      </c>
      <c r="D46" s="467"/>
      <c r="E46" s="467"/>
      <c r="F46" s="467"/>
      <c r="G46" s="467"/>
      <c r="H46" s="467"/>
      <c r="I46" s="467"/>
      <c r="J46" s="467"/>
      <c r="K46" s="467"/>
      <c r="L46" s="468"/>
    </row>
    <row r="47" spans="3:12" hidden="1" x14ac:dyDescent="0.25">
      <c r="C47" s="72" t="s">
        <v>66</v>
      </c>
      <c r="D47" s="492" t="s">
        <v>498</v>
      </c>
      <c r="E47" s="492"/>
      <c r="F47" s="492"/>
      <c r="G47" s="492"/>
      <c r="H47" s="492"/>
      <c r="I47" s="73" t="s">
        <v>499</v>
      </c>
      <c r="J47" s="74" t="s">
        <v>500</v>
      </c>
      <c r="K47" s="73" t="s">
        <v>501</v>
      </c>
      <c r="L47" s="70" t="s">
        <v>502</v>
      </c>
    </row>
    <row r="48" spans="3:12" hidden="1" x14ac:dyDescent="0.25">
      <c r="C48" s="110"/>
      <c r="D48" s="460"/>
      <c r="E48" s="499"/>
      <c r="F48" s="499"/>
      <c r="G48" s="499"/>
      <c r="H48" s="461"/>
      <c r="I48" s="76"/>
      <c r="J48" s="76"/>
      <c r="K48" s="77"/>
      <c r="L48" s="78"/>
    </row>
    <row r="49" spans="3:12" hidden="1" x14ac:dyDescent="0.25">
      <c r="C49" s="79"/>
      <c r="D49" s="493" t="s">
        <v>503</v>
      </c>
      <c r="E49" s="493"/>
      <c r="F49" s="493"/>
      <c r="G49" s="493"/>
      <c r="H49" s="493"/>
      <c r="I49" s="76" t="s">
        <v>61</v>
      </c>
      <c r="J49" s="80">
        <v>1</v>
      </c>
      <c r="K49" s="81">
        <f>L72*0.1</f>
        <v>119.46809209154452</v>
      </c>
      <c r="L49" s="82">
        <f>K49/J49</f>
        <v>119.46809209154452</v>
      </c>
    </row>
    <row r="50" spans="3:12" hidden="1" x14ac:dyDescent="0.25">
      <c r="C50" s="79"/>
      <c r="D50" s="493"/>
      <c r="E50" s="493"/>
      <c r="F50" s="493"/>
      <c r="G50" s="493"/>
      <c r="H50" s="493"/>
      <c r="I50" s="76"/>
      <c r="J50" s="76"/>
      <c r="K50" s="81"/>
      <c r="L50" s="82"/>
    </row>
    <row r="51" spans="3:12" ht="13.5" hidden="1" thickBot="1" x14ac:dyDescent="0.3">
      <c r="C51" s="83"/>
      <c r="D51" s="485" t="s">
        <v>504</v>
      </c>
      <c r="E51" s="485"/>
      <c r="F51" s="485"/>
      <c r="G51" s="485"/>
      <c r="H51" s="485"/>
      <c r="I51" s="485"/>
      <c r="J51" s="485"/>
      <c r="K51" s="485"/>
      <c r="L51" s="84">
        <f>L49+L48</f>
        <v>119.46809209154452</v>
      </c>
    </row>
    <row r="52" spans="3:12" ht="13.5" hidden="1" thickBot="1" x14ac:dyDescent="0.3">
      <c r="C52" s="477"/>
      <c r="D52" s="478"/>
      <c r="E52" s="478"/>
      <c r="F52" s="478"/>
      <c r="G52" s="478"/>
      <c r="H52" s="478"/>
      <c r="I52" s="478"/>
      <c r="J52" s="478"/>
      <c r="K52" s="478"/>
      <c r="L52" s="479"/>
    </row>
    <row r="53" spans="3:12" hidden="1" x14ac:dyDescent="0.25">
      <c r="C53" s="466" t="s">
        <v>505</v>
      </c>
      <c r="D53" s="467"/>
      <c r="E53" s="467"/>
      <c r="F53" s="467"/>
      <c r="G53" s="467"/>
      <c r="H53" s="467"/>
      <c r="I53" s="467"/>
      <c r="J53" s="467"/>
      <c r="K53" s="467"/>
      <c r="L53" s="468"/>
    </row>
    <row r="54" spans="3:12" ht="25.5" hidden="1" x14ac:dyDescent="0.25">
      <c r="C54" s="72" t="s">
        <v>66</v>
      </c>
      <c r="D54" s="492" t="s">
        <v>498</v>
      </c>
      <c r="E54" s="492"/>
      <c r="F54" s="492"/>
      <c r="G54" s="492"/>
      <c r="H54" s="73" t="s">
        <v>499</v>
      </c>
      <c r="I54" s="74" t="s">
        <v>506</v>
      </c>
      <c r="J54" s="73" t="s">
        <v>501</v>
      </c>
      <c r="K54" s="85" t="s">
        <v>507</v>
      </c>
      <c r="L54" s="70" t="s">
        <v>502</v>
      </c>
    </row>
    <row r="55" spans="3:12" hidden="1" x14ac:dyDescent="0.25">
      <c r="C55" s="72" t="str">
        <f>+MATERIALES!A280</f>
        <v>MAT-250</v>
      </c>
      <c r="D55" s="498" t="str">
        <f>+MATERIALES!B280</f>
        <v>Colombina de señalización vial</v>
      </c>
      <c r="E55" s="496"/>
      <c r="F55" s="496"/>
      <c r="G55" s="497"/>
      <c r="H55" s="73" t="str">
        <f>MATERIALES!C280</f>
        <v>Und</v>
      </c>
      <c r="I55" s="76">
        <v>0.2</v>
      </c>
      <c r="J55" s="86">
        <f>MATERIALES!D195</f>
        <v>3929</v>
      </c>
      <c r="K55" s="87">
        <v>0</v>
      </c>
      <c r="L55" s="88">
        <f>I55*J55*(1+K55)</f>
        <v>785.80000000000007</v>
      </c>
    </row>
    <row r="56" spans="3:12" ht="12.75" hidden="1" customHeight="1" x14ac:dyDescent="0.25">
      <c r="C56" s="72" t="str">
        <f>+MATERIALES!A281</f>
        <v>MAT-251</v>
      </c>
      <c r="D56" s="498" t="str">
        <f>+MATERIALES!B281</f>
        <v>Cinta de peligro Rollo 500 m</v>
      </c>
      <c r="E56" s="496"/>
      <c r="F56" s="496"/>
      <c r="G56" s="497"/>
      <c r="H56" s="73" t="str">
        <f>MATERIALES!C281</f>
        <v>Und</v>
      </c>
      <c r="I56" s="76">
        <v>0.5</v>
      </c>
      <c r="J56" s="86">
        <f>MATERIALES!D196</f>
        <v>3000</v>
      </c>
      <c r="K56" s="87">
        <v>0</v>
      </c>
      <c r="L56" s="88">
        <f>I56*J56*(1+K56)</f>
        <v>1500</v>
      </c>
    </row>
    <row r="57" spans="3:12" hidden="1" x14ac:dyDescent="0.25">
      <c r="C57" s="72"/>
      <c r="D57" s="498"/>
      <c r="E57" s="496"/>
      <c r="F57" s="496"/>
      <c r="G57" s="497"/>
      <c r="H57" s="73"/>
      <c r="I57" s="76"/>
      <c r="J57" s="86"/>
      <c r="K57" s="87"/>
      <c r="L57" s="88"/>
    </row>
    <row r="58" spans="3:12" ht="13.5" hidden="1" thickBot="1" x14ac:dyDescent="0.3">
      <c r="C58" s="94"/>
      <c r="D58" s="485" t="s">
        <v>508</v>
      </c>
      <c r="E58" s="485"/>
      <c r="F58" s="485"/>
      <c r="G58" s="485"/>
      <c r="H58" s="485"/>
      <c r="I58" s="485"/>
      <c r="J58" s="485"/>
      <c r="K58" s="485"/>
      <c r="L58" s="84">
        <f>SUM(L55:L57)</f>
        <v>2285.8000000000002</v>
      </c>
    </row>
    <row r="59" spans="3:12" ht="13.5" hidden="1" thickBot="1" x14ac:dyDescent="0.3">
      <c r="C59" s="486"/>
      <c r="D59" s="487"/>
      <c r="E59" s="487"/>
      <c r="F59" s="487"/>
      <c r="G59" s="487"/>
      <c r="H59" s="487"/>
      <c r="I59" s="487"/>
      <c r="J59" s="487"/>
      <c r="K59" s="487"/>
      <c r="L59" s="488"/>
    </row>
    <row r="60" spans="3:12" hidden="1" x14ac:dyDescent="0.25">
      <c r="C60" s="466" t="s">
        <v>509</v>
      </c>
      <c r="D60" s="467"/>
      <c r="E60" s="467"/>
      <c r="F60" s="467"/>
      <c r="G60" s="467"/>
      <c r="H60" s="467"/>
      <c r="I60" s="467"/>
      <c r="J60" s="467"/>
      <c r="K60" s="467"/>
      <c r="L60" s="468"/>
    </row>
    <row r="61" spans="3:12" hidden="1" x14ac:dyDescent="0.25">
      <c r="C61" s="72" t="s">
        <v>66</v>
      </c>
      <c r="D61" s="492" t="s">
        <v>498</v>
      </c>
      <c r="E61" s="492"/>
      <c r="F61" s="492"/>
      <c r="G61" s="492"/>
      <c r="H61" s="73" t="s">
        <v>506</v>
      </c>
      <c r="I61" s="73" t="s">
        <v>499</v>
      </c>
      <c r="J61" s="74" t="s">
        <v>510</v>
      </c>
      <c r="K61" s="85" t="s">
        <v>511</v>
      </c>
      <c r="L61" s="70" t="s">
        <v>502</v>
      </c>
    </row>
    <row r="62" spans="3:12" hidden="1" x14ac:dyDescent="0.25">
      <c r="C62" s="90"/>
      <c r="D62" s="493"/>
      <c r="E62" s="493"/>
      <c r="F62" s="493"/>
      <c r="G62" s="493"/>
      <c r="H62" s="76"/>
      <c r="I62" s="97"/>
      <c r="J62" s="97"/>
      <c r="K62" s="95"/>
      <c r="L62" s="96"/>
    </row>
    <row r="63" spans="3:12" hidden="1" x14ac:dyDescent="0.25">
      <c r="C63" s="90"/>
      <c r="D63" s="495"/>
      <c r="E63" s="495"/>
      <c r="F63" s="495"/>
      <c r="G63" s="495"/>
      <c r="H63" s="76"/>
      <c r="I63" s="97"/>
      <c r="J63" s="97"/>
      <c r="K63" s="95"/>
      <c r="L63" s="96"/>
    </row>
    <row r="64" spans="3:12" hidden="1" x14ac:dyDescent="0.25">
      <c r="C64" s="90"/>
      <c r="D64" s="495"/>
      <c r="E64" s="495"/>
      <c r="F64" s="495"/>
      <c r="G64" s="495"/>
      <c r="H64" s="76"/>
      <c r="I64" s="97"/>
      <c r="J64" s="97"/>
      <c r="K64" s="95"/>
      <c r="L64" s="96"/>
    </row>
    <row r="65" spans="3:12" ht="13.5" hidden="1" thickBot="1" x14ac:dyDescent="0.3">
      <c r="C65" s="83"/>
      <c r="D65" s="485" t="s">
        <v>512</v>
      </c>
      <c r="E65" s="485"/>
      <c r="F65" s="485"/>
      <c r="G65" s="485"/>
      <c r="H65" s="485"/>
      <c r="I65" s="485"/>
      <c r="J65" s="485"/>
      <c r="K65" s="485"/>
      <c r="L65" s="98">
        <f>L62</f>
        <v>0</v>
      </c>
    </row>
    <row r="66" spans="3:12" ht="13.5" hidden="1" thickBot="1" x14ac:dyDescent="0.3">
      <c r="C66" s="477"/>
      <c r="D66" s="478"/>
      <c r="E66" s="478"/>
      <c r="F66" s="478"/>
      <c r="G66" s="478"/>
      <c r="H66" s="478"/>
      <c r="I66" s="478"/>
      <c r="J66" s="478"/>
      <c r="K66" s="478"/>
      <c r="L66" s="479"/>
    </row>
    <row r="67" spans="3:12" hidden="1" x14ac:dyDescent="0.25">
      <c r="C67" s="466" t="s">
        <v>513</v>
      </c>
      <c r="D67" s="467"/>
      <c r="E67" s="467"/>
      <c r="F67" s="467"/>
      <c r="G67" s="467"/>
      <c r="H67" s="467"/>
      <c r="I67" s="467"/>
      <c r="J67" s="467"/>
      <c r="K67" s="467"/>
      <c r="L67" s="468"/>
    </row>
    <row r="68" spans="3:12" hidden="1" x14ac:dyDescent="0.25">
      <c r="C68" s="72" t="s">
        <v>66</v>
      </c>
      <c r="D68" s="492" t="s">
        <v>498</v>
      </c>
      <c r="E68" s="492"/>
      <c r="F68" s="85" t="s">
        <v>499</v>
      </c>
      <c r="G68" s="85" t="s">
        <v>506</v>
      </c>
      <c r="H68" s="73" t="s">
        <v>514</v>
      </c>
      <c r="I68" s="99" t="s">
        <v>515</v>
      </c>
      <c r="J68" s="85" t="s">
        <v>516</v>
      </c>
      <c r="K68" s="99" t="s">
        <v>517</v>
      </c>
      <c r="L68" s="100" t="s">
        <v>502</v>
      </c>
    </row>
    <row r="69" spans="3:12" hidden="1" x14ac:dyDescent="0.25">
      <c r="C69" s="79"/>
      <c r="D69" s="460"/>
      <c r="E69" s="461"/>
      <c r="F69" s="97"/>
      <c r="G69" s="76"/>
      <c r="H69" s="101"/>
      <c r="I69" s="102"/>
      <c r="J69" s="103"/>
      <c r="K69" s="76"/>
      <c r="L69" s="96"/>
    </row>
    <row r="70" spans="3:12" hidden="1" x14ac:dyDescent="0.25">
      <c r="C70" s="79" t="s">
        <v>519</v>
      </c>
      <c r="D70" s="460" t="str">
        <f>'MANO DE OBRA'!$B$3</f>
        <v>Ayudante</v>
      </c>
      <c r="E70" s="461"/>
      <c r="F70" s="97" t="str">
        <f>'MANO DE OBRA'!$C$3</f>
        <v>DIA</v>
      </c>
      <c r="G70" s="76">
        <v>1</v>
      </c>
      <c r="H70" s="101">
        <f>'MANO DE OBRA'!$D$3</f>
        <v>28981.77</v>
      </c>
      <c r="I70" s="102">
        <v>0.75649999999999995</v>
      </c>
      <c r="J70" s="103">
        <f>(H70+(H70*I70))</f>
        <v>50906.479005000001</v>
      </c>
      <c r="K70" s="76">
        <v>42.610941644562317</v>
      </c>
      <c r="L70" s="96">
        <f>G70*(J70/K70)</f>
        <v>1194.6809209154451</v>
      </c>
    </row>
    <row r="71" spans="3:12" hidden="1" x14ac:dyDescent="0.25">
      <c r="C71" s="90"/>
      <c r="D71" s="493"/>
      <c r="E71" s="493"/>
      <c r="F71" s="97"/>
      <c r="G71" s="76"/>
      <c r="H71" s="101"/>
      <c r="I71" s="102"/>
      <c r="J71" s="103"/>
      <c r="K71" s="76"/>
      <c r="L71" s="96"/>
    </row>
    <row r="72" spans="3:12" ht="13.5" hidden="1" thickBot="1" x14ac:dyDescent="0.3">
      <c r="C72" s="83"/>
      <c r="D72" s="485" t="s">
        <v>520</v>
      </c>
      <c r="E72" s="485"/>
      <c r="F72" s="485"/>
      <c r="G72" s="485"/>
      <c r="H72" s="485"/>
      <c r="I72" s="485"/>
      <c r="J72" s="485"/>
      <c r="K72" s="485"/>
      <c r="L72" s="98">
        <f>L70+L69</f>
        <v>1194.6809209154451</v>
      </c>
    </row>
    <row r="73" spans="3:12" ht="13.5" hidden="1" thickBot="1" x14ac:dyDescent="0.3">
      <c r="C73" s="486"/>
      <c r="D73" s="487"/>
      <c r="E73" s="487"/>
      <c r="F73" s="487"/>
      <c r="G73" s="487"/>
      <c r="H73" s="487"/>
      <c r="I73" s="487"/>
      <c r="J73" s="487"/>
      <c r="K73" s="487"/>
      <c r="L73" s="488"/>
    </row>
    <row r="74" spans="3:12" ht="13.5" hidden="1" thickBot="1" x14ac:dyDescent="0.3">
      <c r="C74" s="489" t="s">
        <v>521</v>
      </c>
      <c r="D74" s="490"/>
      <c r="E74" s="490"/>
      <c r="F74" s="490"/>
      <c r="G74" s="490"/>
      <c r="H74" s="490"/>
      <c r="I74" s="490"/>
      <c r="J74" s="491"/>
      <c r="K74" s="145">
        <f>ROUND(L72+L65+L58+L51,0)</f>
        <v>3600</v>
      </c>
      <c r="L74" s="146"/>
    </row>
    <row r="75" spans="3:12" hidden="1" x14ac:dyDescent="0.25"/>
    <row r="76" spans="3:12" hidden="1" x14ac:dyDescent="0.25"/>
    <row r="77" spans="3:12" s="116" customFormat="1" hidden="1" x14ac:dyDescent="0.25">
      <c r="C77" s="466" t="s">
        <v>495</v>
      </c>
      <c r="D77" s="467"/>
      <c r="E77" s="467"/>
      <c r="F77" s="467"/>
      <c r="G77" s="467"/>
      <c r="H77" s="467"/>
      <c r="I77" s="467"/>
      <c r="J77" s="467"/>
      <c r="K77" s="467"/>
      <c r="L77" s="468"/>
    </row>
    <row r="78" spans="3:12" s="116" customFormat="1" hidden="1" x14ac:dyDescent="0.25">
      <c r="C78" s="469" t="str">
        <f>+PPTO!A2</f>
        <v>REPOSICION E INSTALACION VALVULAS DE SECTORIZACION EN DIFERENTES SECTORES DEL MUNICIPIO DE PIEDECUESTA - SANTANDER.</v>
      </c>
      <c r="D78" s="470"/>
      <c r="E78" s="470"/>
      <c r="F78" s="470"/>
      <c r="G78" s="470"/>
      <c r="H78" s="470"/>
      <c r="I78" s="470"/>
      <c r="J78" s="470"/>
      <c r="K78" s="470"/>
      <c r="L78" s="471"/>
    </row>
    <row r="79" spans="3:12" hidden="1" x14ac:dyDescent="0.25">
      <c r="C79" s="472" t="s">
        <v>496</v>
      </c>
      <c r="D79" s="141">
        <f>+PPTO!A4</f>
        <v>1</v>
      </c>
      <c r="E79" s="474" t="str">
        <f>+PPTO!B4</f>
        <v>PRELIMINARES</v>
      </c>
      <c r="F79" s="475"/>
      <c r="G79" s="475"/>
      <c r="H79" s="475"/>
      <c r="I79" s="475"/>
      <c r="J79" s="475"/>
      <c r="K79" s="475"/>
      <c r="L79" s="70" t="s">
        <v>52</v>
      </c>
    </row>
    <row r="80" spans="3:12" ht="30" hidden="1" customHeight="1" thickBot="1" x14ac:dyDescent="0.3">
      <c r="C80" s="473"/>
      <c r="D80" s="120">
        <f>+PPTO!A7</f>
        <v>1.23</v>
      </c>
      <c r="E80" s="476" t="str">
        <f>+PPTO!B7</f>
        <v>Rotura de pavimento flexible (Incluye retiro)</v>
      </c>
      <c r="F80" s="476"/>
      <c r="G80" s="476"/>
      <c r="H80" s="476"/>
      <c r="I80" s="476"/>
      <c r="J80" s="476"/>
      <c r="K80" s="476"/>
      <c r="L80" s="71" t="str">
        <f>+PPTO!C7</f>
        <v>M2</v>
      </c>
    </row>
    <row r="81" spans="3:12" ht="13.5" hidden="1" thickBot="1" x14ac:dyDescent="0.3">
      <c r="C81" s="477"/>
      <c r="D81" s="478"/>
      <c r="E81" s="478"/>
      <c r="F81" s="478"/>
      <c r="G81" s="478"/>
      <c r="H81" s="478"/>
      <c r="I81" s="478"/>
      <c r="J81" s="478"/>
      <c r="K81" s="478"/>
      <c r="L81" s="479"/>
    </row>
    <row r="82" spans="3:12" hidden="1" x14ac:dyDescent="0.25">
      <c r="C82" s="466" t="s">
        <v>497</v>
      </c>
      <c r="D82" s="467"/>
      <c r="E82" s="467"/>
      <c r="F82" s="467"/>
      <c r="G82" s="467"/>
      <c r="H82" s="467"/>
      <c r="I82" s="467"/>
      <c r="J82" s="467"/>
      <c r="K82" s="467"/>
      <c r="L82" s="468"/>
    </row>
    <row r="83" spans="3:12" hidden="1" x14ac:dyDescent="0.25">
      <c r="C83" s="72" t="s">
        <v>66</v>
      </c>
      <c r="D83" s="492" t="s">
        <v>498</v>
      </c>
      <c r="E83" s="492"/>
      <c r="F83" s="492"/>
      <c r="G83" s="492"/>
      <c r="H83" s="492"/>
      <c r="I83" s="73" t="s">
        <v>499</v>
      </c>
      <c r="J83" s="74" t="s">
        <v>500</v>
      </c>
      <c r="K83" s="73" t="s">
        <v>501</v>
      </c>
      <c r="L83" s="70" t="s">
        <v>502</v>
      </c>
    </row>
    <row r="84" spans="3:12" hidden="1" x14ac:dyDescent="0.25">
      <c r="C84" s="75"/>
      <c r="D84" s="460"/>
      <c r="E84" s="499"/>
      <c r="F84" s="499"/>
      <c r="G84" s="499"/>
      <c r="H84" s="461"/>
      <c r="I84" s="76"/>
      <c r="J84" s="76"/>
      <c r="K84" s="77"/>
      <c r="L84" s="78"/>
    </row>
    <row r="85" spans="3:12" hidden="1" x14ac:dyDescent="0.25">
      <c r="C85" s="79"/>
      <c r="D85" s="493" t="s">
        <v>503</v>
      </c>
      <c r="E85" s="493"/>
      <c r="F85" s="493"/>
      <c r="G85" s="493"/>
      <c r="H85" s="493"/>
      <c r="I85" s="76" t="s">
        <v>61</v>
      </c>
      <c r="J85" s="80">
        <v>1</v>
      </c>
      <c r="K85" s="81">
        <f>L108*0.1</f>
        <v>381.79859253750004</v>
      </c>
      <c r="L85" s="82">
        <f>K85/J85</f>
        <v>381.79859253750004</v>
      </c>
    </row>
    <row r="86" spans="3:12" hidden="1" x14ac:dyDescent="0.25">
      <c r="C86" s="79"/>
      <c r="D86" s="462" t="s">
        <v>706</v>
      </c>
      <c r="E86" s="493"/>
      <c r="F86" s="493"/>
      <c r="G86" s="493"/>
      <c r="H86" s="493"/>
      <c r="I86" s="111" t="s">
        <v>5</v>
      </c>
      <c r="J86" s="80">
        <v>5</v>
      </c>
      <c r="K86" s="81">
        <v>68750</v>
      </c>
      <c r="L86" s="82">
        <f>+K86/J86</f>
        <v>13750</v>
      </c>
    </row>
    <row r="87" spans="3:12" hidden="1" x14ac:dyDescent="0.25">
      <c r="C87" s="79"/>
      <c r="D87" s="462" t="s">
        <v>707</v>
      </c>
      <c r="E87" s="493"/>
      <c r="F87" s="493"/>
      <c r="G87" s="493"/>
      <c r="H87" s="493"/>
      <c r="I87" s="111" t="s">
        <v>2</v>
      </c>
      <c r="J87" s="76">
        <v>40</v>
      </c>
      <c r="K87" s="81">
        <v>70000</v>
      </c>
      <c r="L87" s="82">
        <f>+K87/J87</f>
        <v>1750</v>
      </c>
    </row>
    <row r="88" spans="3:12" s="116" customFormat="1" ht="13.5" hidden="1" thickBot="1" x14ac:dyDescent="0.3">
      <c r="C88" s="83"/>
      <c r="D88" s="485" t="s">
        <v>504</v>
      </c>
      <c r="E88" s="485"/>
      <c r="F88" s="485"/>
      <c r="G88" s="485"/>
      <c r="H88" s="485"/>
      <c r="I88" s="485"/>
      <c r="J88" s="485"/>
      <c r="K88" s="485"/>
      <c r="L88" s="84">
        <f>L85+L86+L87</f>
        <v>15881.7985925375</v>
      </c>
    </row>
    <row r="89" spans="3:12" s="116" customFormat="1" ht="13.5" hidden="1" thickBot="1" x14ac:dyDescent="0.3">
      <c r="C89" s="477"/>
      <c r="D89" s="478"/>
      <c r="E89" s="478"/>
      <c r="F89" s="478"/>
      <c r="G89" s="478"/>
      <c r="H89" s="478"/>
      <c r="I89" s="478"/>
      <c r="J89" s="478"/>
      <c r="K89" s="478"/>
      <c r="L89" s="479"/>
    </row>
    <row r="90" spans="3:12" hidden="1" x14ac:dyDescent="0.25">
      <c r="C90" s="466" t="s">
        <v>505</v>
      </c>
      <c r="D90" s="467"/>
      <c r="E90" s="467"/>
      <c r="F90" s="467"/>
      <c r="G90" s="467"/>
      <c r="H90" s="467"/>
      <c r="I90" s="467"/>
      <c r="J90" s="467"/>
      <c r="K90" s="467"/>
      <c r="L90" s="468"/>
    </row>
    <row r="91" spans="3:12" ht="25.5" hidden="1" x14ac:dyDescent="0.25">
      <c r="C91" s="72" t="s">
        <v>66</v>
      </c>
      <c r="D91" s="492" t="s">
        <v>498</v>
      </c>
      <c r="E91" s="492"/>
      <c r="F91" s="492"/>
      <c r="G91" s="492"/>
      <c r="H91" s="73" t="s">
        <v>499</v>
      </c>
      <c r="I91" s="74" t="s">
        <v>506</v>
      </c>
      <c r="J91" s="73" t="s">
        <v>501</v>
      </c>
      <c r="K91" s="85" t="s">
        <v>507</v>
      </c>
      <c r="L91" s="70" t="s">
        <v>502</v>
      </c>
    </row>
    <row r="92" spans="3:12" hidden="1" x14ac:dyDescent="0.25">
      <c r="C92" s="72"/>
      <c r="D92" s="498"/>
      <c r="E92" s="496"/>
      <c r="F92" s="496"/>
      <c r="G92" s="497"/>
      <c r="H92" s="73"/>
      <c r="I92" s="76"/>
      <c r="J92" s="86"/>
      <c r="K92" s="87"/>
      <c r="L92" s="88"/>
    </row>
    <row r="93" spans="3:12" hidden="1" x14ac:dyDescent="0.25">
      <c r="C93" s="90"/>
      <c r="D93" s="500"/>
      <c r="E93" s="500"/>
      <c r="F93" s="500"/>
      <c r="G93" s="500"/>
      <c r="H93" s="97"/>
      <c r="I93" s="91"/>
      <c r="J93" s="92"/>
      <c r="K93" s="93"/>
      <c r="L93" s="82"/>
    </row>
    <row r="94" spans="3:12" ht="13.5" hidden="1" thickBot="1" x14ac:dyDescent="0.3">
      <c r="C94" s="94"/>
      <c r="D94" s="485" t="s">
        <v>508</v>
      </c>
      <c r="E94" s="485"/>
      <c r="F94" s="485"/>
      <c r="G94" s="485"/>
      <c r="H94" s="485"/>
      <c r="I94" s="485"/>
      <c r="J94" s="485"/>
      <c r="K94" s="485"/>
      <c r="L94" s="84">
        <f>SUM(L92:L93)</f>
        <v>0</v>
      </c>
    </row>
    <row r="95" spans="3:12" ht="13.5" hidden="1" thickBot="1" x14ac:dyDescent="0.3">
      <c r="C95" s="486"/>
      <c r="D95" s="487"/>
      <c r="E95" s="487"/>
      <c r="F95" s="487"/>
      <c r="G95" s="487"/>
      <c r="H95" s="487"/>
      <c r="I95" s="487"/>
      <c r="J95" s="487"/>
      <c r="K95" s="487"/>
      <c r="L95" s="488"/>
    </row>
    <row r="96" spans="3:12" hidden="1" x14ac:dyDescent="0.25">
      <c r="C96" s="466" t="s">
        <v>509</v>
      </c>
      <c r="D96" s="467"/>
      <c r="E96" s="467"/>
      <c r="F96" s="467"/>
      <c r="G96" s="467"/>
      <c r="H96" s="467"/>
      <c r="I96" s="467"/>
      <c r="J96" s="467"/>
      <c r="K96" s="467"/>
      <c r="L96" s="468"/>
    </row>
    <row r="97" spans="3:12" hidden="1" x14ac:dyDescent="0.25">
      <c r="C97" s="72" t="s">
        <v>66</v>
      </c>
      <c r="D97" s="492" t="s">
        <v>498</v>
      </c>
      <c r="E97" s="492"/>
      <c r="F97" s="492"/>
      <c r="G97" s="492"/>
      <c r="H97" s="73" t="s">
        <v>506</v>
      </c>
      <c r="I97" s="73" t="s">
        <v>499</v>
      </c>
      <c r="J97" s="74" t="s">
        <v>510</v>
      </c>
      <c r="K97" s="85" t="s">
        <v>511</v>
      </c>
      <c r="L97" s="70" t="s">
        <v>502</v>
      </c>
    </row>
    <row r="98" spans="3:12" hidden="1" x14ac:dyDescent="0.25">
      <c r="C98" s="90"/>
      <c r="D98" s="493"/>
      <c r="E98" s="493"/>
      <c r="F98" s="493"/>
      <c r="G98" s="493"/>
      <c r="H98" s="76"/>
      <c r="I98" s="97"/>
      <c r="J98" s="97"/>
      <c r="K98" s="95"/>
      <c r="L98" s="96"/>
    </row>
    <row r="99" spans="3:12" hidden="1" x14ac:dyDescent="0.25">
      <c r="C99" s="90"/>
      <c r="D99" s="495"/>
      <c r="E99" s="495"/>
      <c r="F99" s="495"/>
      <c r="G99" s="495"/>
      <c r="H99" s="76"/>
      <c r="I99" s="97"/>
      <c r="J99" s="97"/>
      <c r="K99" s="95"/>
      <c r="L99" s="96"/>
    </row>
    <row r="100" spans="3:12" hidden="1" x14ac:dyDescent="0.25">
      <c r="C100" s="90"/>
      <c r="D100" s="495"/>
      <c r="E100" s="495"/>
      <c r="F100" s="495"/>
      <c r="G100" s="495"/>
      <c r="H100" s="76"/>
      <c r="I100" s="97"/>
      <c r="J100" s="97"/>
      <c r="K100" s="95"/>
      <c r="L100" s="96"/>
    </row>
    <row r="101" spans="3:12" s="116" customFormat="1" ht="13.5" hidden="1" thickBot="1" x14ac:dyDescent="0.3">
      <c r="C101" s="83"/>
      <c r="D101" s="485" t="s">
        <v>512</v>
      </c>
      <c r="E101" s="485"/>
      <c r="F101" s="485"/>
      <c r="G101" s="485"/>
      <c r="H101" s="485"/>
      <c r="I101" s="485"/>
      <c r="J101" s="485"/>
      <c r="K101" s="485"/>
      <c r="L101" s="98">
        <f>L98</f>
        <v>0</v>
      </c>
    </row>
    <row r="102" spans="3:12" s="116" customFormat="1" ht="13.5" hidden="1" thickBot="1" x14ac:dyDescent="0.3">
      <c r="C102" s="477"/>
      <c r="D102" s="478"/>
      <c r="E102" s="478"/>
      <c r="F102" s="478"/>
      <c r="G102" s="478"/>
      <c r="H102" s="478"/>
      <c r="I102" s="478"/>
      <c r="J102" s="478"/>
      <c r="K102" s="478"/>
      <c r="L102" s="479"/>
    </row>
    <row r="103" spans="3:12" hidden="1" x14ac:dyDescent="0.25">
      <c r="C103" s="466" t="s">
        <v>513</v>
      </c>
      <c r="D103" s="467"/>
      <c r="E103" s="467"/>
      <c r="F103" s="467"/>
      <c r="G103" s="467"/>
      <c r="H103" s="467"/>
      <c r="I103" s="467"/>
      <c r="J103" s="467"/>
      <c r="K103" s="467"/>
      <c r="L103" s="468"/>
    </row>
    <row r="104" spans="3:12" hidden="1" x14ac:dyDescent="0.25">
      <c r="C104" s="72" t="s">
        <v>66</v>
      </c>
      <c r="D104" s="492" t="s">
        <v>498</v>
      </c>
      <c r="E104" s="492"/>
      <c r="F104" s="85" t="s">
        <v>499</v>
      </c>
      <c r="G104" s="85" t="s">
        <v>506</v>
      </c>
      <c r="H104" s="73" t="s">
        <v>514</v>
      </c>
      <c r="I104" s="99" t="s">
        <v>515</v>
      </c>
      <c r="J104" s="85" t="s">
        <v>516</v>
      </c>
      <c r="K104" s="99" t="s">
        <v>517</v>
      </c>
      <c r="L104" s="100" t="s">
        <v>502</v>
      </c>
    </row>
    <row r="105" spans="3:12" hidden="1" x14ac:dyDescent="0.25">
      <c r="C105" s="79" t="s">
        <v>519</v>
      </c>
      <c r="D105" s="460" t="str">
        <f>'MANO DE OBRA'!$B$3</f>
        <v>Ayudante</v>
      </c>
      <c r="E105" s="461"/>
      <c r="F105" s="97" t="str">
        <f>'MANO DE OBRA'!$C$3</f>
        <v>DIA</v>
      </c>
      <c r="G105" s="76">
        <v>3</v>
      </c>
      <c r="H105" s="101">
        <f>'MANO DE OBRA'!$D$3</f>
        <v>28981.77</v>
      </c>
      <c r="I105" s="102">
        <v>0.75649999999999995</v>
      </c>
      <c r="J105" s="103">
        <f>(H105+(H105*I105))</f>
        <v>50906.479005000001</v>
      </c>
      <c r="K105" s="76">
        <v>40</v>
      </c>
      <c r="L105" s="96">
        <f>G105*(J105/K105)</f>
        <v>3817.9859253750001</v>
      </c>
    </row>
    <row r="106" spans="3:12" hidden="1" x14ac:dyDescent="0.25">
      <c r="C106" s="79"/>
      <c r="D106" s="460"/>
      <c r="E106" s="461"/>
      <c r="F106" s="97"/>
      <c r="G106" s="76"/>
      <c r="H106" s="101"/>
      <c r="I106" s="102"/>
      <c r="J106" s="103"/>
      <c r="K106" s="76"/>
      <c r="L106" s="96"/>
    </row>
    <row r="107" spans="3:12" hidden="1" x14ac:dyDescent="0.25">
      <c r="C107" s="90"/>
      <c r="D107" s="493"/>
      <c r="E107" s="493"/>
      <c r="F107" s="97"/>
      <c r="G107" s="76"/>
      <c r="H107" s="101"/>
      <c r="I107" s="102"/>
      <c r="J107" s="103"/>
      <c r="K107" s="76"/>
      <c r="L107" s="96"/>
    </row>
    <row r="108" spans="3:12" s="116" customFormat="1" ht="13.5" hidden="1" thickBot="1" x14ac:dyDescent="0.3">
      <c r="C108" s="83"/>
      <c r="D108" s="485" t="s">
        <v>520</v>
      </c>
      <c r="E108" s="485"/>
      <c r="F108" s="485"/>
      <c r="G108" s="485"/>
      <c r="H108" s="485"/>
      <c r="I108" s="485"/>
      <c r="J108" s="485"/>
      <c r="K108" s="485"/>
      <c r="L108" s="98">
        <f>L106+L105</f>
        <v>3817.9859253750001</v>
      </c>
    </row>
    <row r="109" spans="3:12" ht="13.5" hidden="1" thickBot="1" x14ac:dyDescent="0.3">
      <c r="C109" s="486"/>
      <c r="D109" s="487"/>
      <c r="E109" s="487"/>
      <c r="F109" s="487"/>
      <c r="G109" s="487"/>
      <c r="H109" s="487"/>
      <c r="I109" s="487"/>
      <c r="J109" s="487"/>
      <c r="K109" s="487"/>
      <c r="L109" s="488"/>
    </row>
    <row r="110" spans="3:12" ht="13.5" hidden="1" thickBot="1" x14ac:dyDescent="0.3">
      <c r="C110" s="489" t="s">
        <v>521</v>
      </c>
      <c r="D110" s="490"/>
      <c r="E110" s="490"/>
      <c r="F110" s="490"/>
      <c r="G110" s="490"/>
      <c r="H110" s="490"/>
      <c r="I110" s="490"/>
      <c r="J110" s="491"/>
      <c r="K110" s="145">
        <f>ROUND(L108+L101+L94+L88,0)</f>
        <v>19700</v>
      </c>
      <c r="L110" s="146"/>
    </row>
    <row r="111" spans="3:12" hidden="1" x14ac:dyDescent="0.25">
      <c r="C111" s="114"/>
      <c r="D111" s="142"/>
      <c r="E111" s="114"/>
      <c r="F111" s="114"/>
      <c r="G111" s="114"/>
      <c r="H111" s="114"/>
      <c r="I111" s="114"/>
      <c r="J111" s="114"/>
      <c r="K111" s="115"/>
      <c r="L111" s="115"/>
    </row>
    <row r="112" spans="3:12" ht="13.5" hidden="1" thickBot="1" x14ac:dyDescent="0.3"/>
    <row r="113" spans="3:12" s="116" customFormat="1" hidden="1" x14ac:dyDescent="0.25">
      <c r="C113" s="466" t="s">
        <v>495</v>
      </c>
      <c r="D113" s="467"/>
      <c r="E113" s="467"/>
      <c r="F113" s="467"/>
      <c r="G113" s="467"/>
      <c r="H113" s="467"/>
      <c r="I113" s="467"/>
      <c r="J113" s="467"/>
      <c r="K113" s="467"/>
      <c r="L113" s="468"/>
    </row>
    <row r="114" spans="3:12" s="116" customFormat="1" hidden="1" x14ac:dyDescent="0.25">
      <c r="C114" s="469" t="str">
        <f>+PPTO!A2</f>
        <v>REPOSICION E INSTALACION VALVULAS DE SECTORIZACION EN DIFERENTES SECTORES DEL MUNICIPIO DE PIEDECUESTA - SANTANDER.</v>
      </c>
      <c r="D114" s="470"/>
      <c r="E114" s="470"/>
      <c r="F114" s="470"/>
      <c r="G114" s="470"/>
      <c r="H114" s="470"/>
      <c r="I114" s="470"/>
      <c r="J114" s="470"/>
      <c r="K114" s="470"/>
      <c r="L114" s="471"/>
    </row>
    <row r="115" spans="3:12" hidden="1" x14ac:dyDescent="0.25">
      <c r="C115" s="472" t="s">
        <v>496</v>
      </c>
      <c r="D115" s="141">
        <f>+PPTO!A4</f>
        <v>1</v>
      </c>
      <c r="E115" s="474" t="str">
        <f>+PPTO!B4</f>
        <v>PRELIMINARES</v>
      </c>
      <c r="F115" s="475"/>
      <c r="G115" s="475"/>
      <c r="H115" s="475"/>
      <c r="I115" s="475"/>
      <c r="J115" s="475"/>
      <c r="K115" s="475"/>
      <c r="L115" s="70" t="s">
        <v>52</v>
      </c>
    </row>
    <row r="116" spans="3:12" ht="30" hidden="1" customHeight="1" thickBot="1" x14ac:dyDescent="0.3">
      <c r="C116" s="473"/>
      <c r="D116" s="120">
        <f>+PPTO!A8</f>
        <v>1.04</v>
      </c>
      <c r="E116" s="476" t="str">
        <f>+PPTO!B8</f>
        <v>Rotura de pavimento rígido (Incluye retiro)</v>
      </c>
      <c r="F116" s="476"/>
      <c r="G116" s="476"/>
      <c r="H116" s="476"/>
      <c r="I116" s="476"/>
      <c r="J116" s="476"/>
      <c r="K116" s="476"/>
      <c r="L116" s="71" t="str">
        <f>+PPTO!C8</f>
        <v>M2</v>
      </c>
    </row>
    <row r="117" spans="3:12" ht="13.5" hidden="1" thickBot="1" x14ac:dyDescent="0.3">
      <c r="C117" s="477"/>
      <c r="D117" s="478"/>
      <c r="E117" s="478"/>
      <c r="F117" s="478"/>
      <c r="G117" s="478"/>
      <c r="H117" s="478"/>
      <c r="I117" s="478"/>
      <c r="J117" s="478"/>
      <c r="K117" s="478"/>
      <c r="L117" s="479"/>
    </row>
    <row r="118" spans="3:12" hidden="1" x14ac:dyDescent="0.25">
      <c r="C118" s="466" t="s">
        <v>497</v>
      </c>
      <c r="D118" s="467"/>
      <c r="E118" s="467"/>
      <c r="F118" s="467"/>
      <c r="G118" s="467"/>
      <c r="H118" s="467"/>
      <c r="I118" s="467"/>
      <c r="J118" s="467"/>
      <c r="K118" s="467"/>
      <c r="L118" s="468"/>
    </row>
    <row r="119" spans="3:12" hidden="1" x14ac:dyDescent="0.25">
      <c r="C119" s="72" t="s">
        <v>66</v>
      </c>
      <c r="D119" s="492" t="s">
        <v>498</v>
      </c>
      <c r="E119" s="492"/>
      <c r="F119" s="492"/>
      <c r="G119" s="492"/>
      <c r="H119" s="492"/>
      <c r="I119" s="73" t="s">
        <v>499</v>
      </c>
      <c r="J119" s="74" t="s">
        <v>500</v>
      </c>
      <c r="K119" s="73" t="s">
        <v>501</v>
      </c>
      <c r="L119" s="70" t="s">
        <v>502</v>
      </c>
    </row>
    <row r="120" spans="3:12" hidden="1" x14ac:dyDescent="0.25">
      <c r="C120" s="75"/>
      <c r="D120" s="460"/>
      <c r="E120" s="499"/>
      <c r="F120" s="499"/>
      <c r="G120" s="499"/>
      <c r="H120" s="461"/>
      <c r="I120" s="76"/>
      <c r="J120" s="76"/>
      <c r="K120" s="77"/>
      <c r="L120" s="78"/>
    </row>
    <row r="121" spans="3:12" hidden="1" x14ac:dyDescent="0.25">
      <c r="C121" s="79"/>
      <c r="D121" s="493" t="s">
        <v>503</v>
      </c>
      <c r="E121" s="493"/>
      <c r="F121" s="493"/>
      <c r="G121" s="493"/>
      <c r="H121" s="493"/>
      <c r="I121" s="76" t="s">
        <v>61</v>
      </c>
      <c r="J121" s="80">
        <v>1</v>
      </c>
      <c r="K121" s="81">
        <f>L144*0.1</f>
        <v>3292.049456668326</v>
      </c>
      <c r="L121" s="82">
        <f>K121/J121</f>
        <v>3292.049456668326</v>
      </c>
    </row>
    <row r="122" spans="3:12" hidden="1" x14ac:dyDescent="0.25">
      <c r="C122" s="79"/>
      <c r="D122" s="462" t="s">
        <v>706</v>
      </c>
      <c r="E122" s="493"/>
      <c r="F122" s="493"/>
      <c r="G122" s="493"/>
      <c r="H122" s="493"/>
      <c r="I122" s="111" t="s">
        <v>5</v>
      </c>
      <c r="J122" s="80">
        <v>4</v>
      </c>
      <c r="K122" s="81">
        <v>68750</v>
      </c>
      <c r="L122" s="82">
        <f>+K122/J122</f>
        <v>17187.5</v>
      </c>
    </row>
    <row r="123" spans="3:12" hidden="1" x14ac:dyDescent="0.25">
      <c r="C123" s="79"/>
      <c r="D123" s="462" t="s">
        <v>707</v>
      </c>
      <c r="E123" s="493"/>
      <c r="F123" s="493"/>
      <c r="G123" s="493"/>
      <c r="H123" s="493"/>
      <c r="I123" s="111" t="s">
        <v>2</v>
      </c>
      <c r="J123" s="76">
        <v>5</v>
      </c>
      <c r="K123" s="81">
        <v>70000</v>
      </c>
      <c r="L123" s="82">
        <f>+K123/J123</f>
        <v>14000</v>
      </c>
    </row>
    <row r="124" spans="3:12" s="116" customFormat="1" ht="13.5" hidden="1" thickBot="1" x14ac:dyDescent="0.3">
      <c r="C124" s="83"/>
      <c r="D124" s="485" t="s">
        <v>504</v>
      </c>
      <c r="E124" s="485"/>
      <c r="F124" s="485"/>
      <c r="G124" s="485"/>
      <c r="H124" s="485"/>
      <c r="I124" s="485"/>
      <c r="J124" s="485"/>
      <c r="K124" s="485"/>
      <c r="L124" s="84">
        <f>L121+L122+L123</f>
        <v>34479.549456668326</v>
      </c>
    </row>
    <row r="125" spans="3:12" s="116" customFormat="1" ht="13.5" hidden="1" thickBot="1" x14ac:dyDescent="0.3">
      <c r="C125" s="477"/>
      <c r="D125" s="478"/>
      <c r="E125" s="478"/>
      <c r="F125" s="478"/>
      <c r="G125" s="478"/>
      <c r="H125" s="478"/>
      <c r="I125" s="478"/>
      <c r="J125" s="478"/>
      <c r="K125" s="478"/>
      <c r="L125" s="479"/>
    </row>
    <row r="126" spans="3:12" hidden="1" x14ac:dyDescent="0.25">
      <c r="C126" s="466" t="s">
        <v>505</v>
      </c>
      <c r="D126" s="467"/>
      <c r="E126" s="467"/>
      <c r="F126" s="467"/>
      <c r="G126" s="467"/>
      <c r="H126" s="467"/>
      <c r="I126" s="467"/>
      <c r="J126" s="467"/>
      <c r="K126" s="467"/>
      <c r="L126" s="468"/>
    </row>
    <row r="127" spans="3:12" ht="25.5" hidden="1" x14ac:dyDescent="0.25">
      <c r="C127" s="72" t="s">
        <v>66</v>
      </c>
      <c r="D127" s="492" t="s">
        <v>498</v>
      </c>
      <c r="E127" s="492"/>
      <c r="F127" s="492"/>
      <c r="G127" s="492"/>
      <c r="H127" s="73" t="s">
        <v>499</v>
      </c>
      <c r="I127" s="74" t="s">
        <v>506</v>
      </c>
      <c r="J127" s="73" t="s">
        <v>501</v>
      </c>
      <c r="K127" s="85" t="s">
        <v>507</v>
      </c>
      <c r="L127" s="70" t="s">
        <v>502</v>
      </c>
    </row>
    <row r="128" spans="3:12" hidden="1" x14ac:dyDescent="0.25">
      <c r="C128" s="90"/>
      <c r="D128" s="500"/>
      <c r="E128" s="500"/>
      <c r="F128" s="500"/>
      <c r="G128" s="500"/>
      <c r="H128" s="97"/>
      <c r="I128" s="91"/>
      <c r="J128" s="92"/>
      <c r="K128" s="93"/>
      <c r="L128" s="82"/>
    </row>
    <row r="129" spans="3:12" hidden="1" x14ac:dyDescent="0.25">
      <c r="C129" s="90"/>
      <c r="D129" s="500"/>
      <c r="E129" s="500"/>
      <c r="F129" s="500"/>
      <c r="G129" s="500"/>
      <c r="H129" s="97"/>
      <c r="I129" s="91"/>
      <c r="J129" s="92"/>
      <c r="K129" s="93"/>
      <c r="L129" s="82"/>
    </row>
    <row r="130" spans="3:12" ht="13.5" hidden="1" thickBot="1" x14ac:dyDescent="0.3">
      <c r="C130" s="94"/>
      <c r="D130" s="485" t="s">
        <v>508</v>
      </c>
      <c r="E130" s="485"/>
      <c r="F130" s="485"/>
      <c r="G130" s="485"/>
      <c r="H130" s="485"/>
      <c r="I130" s="485"/>
      <c r="J130" s="485"/>
      <c r="K130" s="485"/>
      <c r="L130" s="84">
        <f>SUM(L128:L129)</f>
        <v>0</v>
      </c>
    </row>
    <row r="131" spans="3:12" ht="13.5" hidden="1" thickBot="1" x14ac:dyDescent="0.3">
      <c r="C131" s="486"/>
      <c r="D131" s="487"/>
      <c r="E131" s="487"/>
      <c r="F131" s="487"/>
      <c r="G131" s="487"/>
      <c r="H131" s="487"/>
      <c r="I131" s="487"/>
      <c r="J131" s="487"/>
      <c r="K131" s="487"/>
      <c r="L131" s="488"/>
    </row>
    <row r="132" spans="3:12" hidden="1" x14ac:dyDescent="0.25">
      <c r="C132" s="466" t="s">
        <v>509</v>
      </c>
      <c r="D132" s="467"/>
      <c r="E132" s="467"/>
      <c r="F132" s="467"/>
      <c r="G132" s="467"/>
      <c r="H132" s="467"/>
      <c r="I132" s="467"/>
      <c r="J132" s="467"/>
      <c r="K132" s="467"/>
      <c r="L132" s="468"/>
    </row>
    <row r="133" spans="3:12" hidden="1" x14ac:dyDescent="0.25">
      <c r="C133" s="72" t="s">
        <v>66</v>
      </c>
      <c r="D133" s="492" t="s">
        <v>498</v>
      </c>
      <c r="E133" s="492"/>
      <c r="F133" s="492"/>
      <c r="G133" s="492"/>
      <c r="H133" s="73" t="s">
        <v>506</v>
      </c>
      <c r="I133" s="73" t="s">
        <v>499</v>
      </c>
      <c r="J133" s="74" t="s">
        <v>510</v>
      </c>
      <c r="K133" s="85" t="s">
        <v>511</v>
      </c>
      <c r="L133" s="70" t="s">
        <v>502</v>
      </c>
    </row>
    <row r="134" spans="3:12" hidden="1" x14ac:dyDescent="0.25">
      <c r="C134" s="90"/>
      <c r="D134" s="493"/>
      <c r="E134" s="493"/>
      <c r="F134" s="493"/>
      <c r="G134" s="493"/>
      <c r="H134" s="76"/>
      <c r="I134" s="97"/>
      <c r="J134" s="97"/>
      <c r="K134" s="95"/>
      <c r="L134" s="96"/>
    </row>
    <row r="135" spans="3:12" hidden="1" x14ac:dyDescent="0.25">
      <c r="C135" s="90"/>
      <c r="D135" s="495"/>
      <c r="E135" s="495"/>
      <c r="F135" s="495"/>
      <c r="G135" s="495"/>
      <c r="H135" s="76"/>
      <c r="I135" s="97"/>
      <c r="J135" s="97"/>
      <c r="K135" s="95"/>
      <c r="L135" s="96"/>
    </row>
    <row r="136" spans="3:12" hidden="1" x14ac:dyDescent="0.25">
      <c r="C136" s="90"/>
      <c r="D136" s="495"/>
      <c r="E136" s="495"/>
      <c r="F136" s="495"/>
      <c r="G136" s="495"/>
      <c r="H136" s="76"/>
      <c r="I136" s="97"/>
      <c r="J136" s="97"/>
      <c r="K136" s="95"/>
      <c r="L136" s="96"/>
    </row>
    <row r="137" spans="3:12" s="116" customFormat="1" ht="13.5" hidden="1" thickBot="1" x14ac:dyDescent="0.3">
      <c r="C137" s="83"/>
      <c r="D137" s="485" t="s">
        <v>512</v>
      </c>
      <c r="E137" s="485"/>
      <c r="F137" s="485"/>
      <c r="G137" s="485"/>
      <c r="H137" s="485"/>
      <c r="I137" s="485"/>
      <c r="J137" s="485"/>
      <c r="K137" s="485"/>
      <c r="L137" s="98">
        <f>L134</f>
        <v>0</v>
      </c>
    </row>
    <row r="138" spans="3:12" s="116" customFormat="1" ht="13.5" hidden="1" thickBot="1" x14ac:dyDescent="0.3">
      <c r="C138" s="477"/>
      <c r="D138" s="478"/>
      <c r="E138" s="478"/>
      <c r="F138" s="478"/>
      <c r="G138" s="478"/>
      <c r="H138" s="478"/>
      <c r="I138" s="478"/>
      <c r="J138" s="478"/>
      <c r="K138" s="478"/>
      <c r="L138" s="479"/>
    </row>
    <row r="139" spans="3:12" hidden="1" x14ac:dyDescent="0.25">
      <c r="C139" s="466" t="s">
        <v>513</v>
      </c>
      <c r="D139" s="467"/>
      <c r="E139" s="467"/>
      <c r="F139" s="467"/>
      <c r="G139" s="467"/>
      <c r="H139" s="467"/>
      <c r="I139" s="467"/>
      <c r="J139" s="467"/>
      <c r="K139" s="467"/>
      <c r="L139" s="468"/>
    </row>
    <row r="140" spans="3:12" hidden="1" x14ac:dyDescent="0.25">
      <c r="C140" s="72" t="s">
        <v>66</v>
      </c>
      <c r="D140" s="492" t="s">
        <v>498</v>
      </c>
      <c r="E140" s="492"/>
      <c r="F140" s="85" t="s">
        <v>499</v>
      </c>
      <c r="G140" s="85" t="s">
        <v>506</v>
      </c>
      <c r="H140" s="73" t="s">
        <v>514</v>
      </c>
      <c r="I140" s="99" t="s">
        <v>515</v>
      </c>
      <c r="J140" s="85" t="s">
        <v>516</v>
      </c>
      <c r="K140" s="99" t="s">
        <v>517</v>
      </c>
      <c r="L140" s="100" t="s">
        <v>502</v>
      </c>
    </row>
    <row r="141" spans="3:12" hidden="1" x14ac:dyDescent="0.25">
      <c r="C141" s="79" t="s">
        <v>519</v>
      </c>
      <c r="D141" s="460" t="str">
        <f>'MANO DE OBRA'!$B$3</f>
        <v>Ayudante</v>
      </c>
      <c r="E141" s="461"/>
      <c r="F141" s="97" t="str">
        <f>'MANO DE OBRA'!$C$3</f>
        <v>DIA</v>
      </c>
      <c r="G141" s="76">
        <v>3</v>
      </c>
      <c r="H141" s="101">
        <f>'MANO DE OBRA'!$D$3</f>
        <v>28981.77</v>
      </c>
      <c r="I141" s="102">
        <v>0.75649999999999995</v>
      </c>
      <c r="J141" s="103">
        <f>(H141+(H141*I141))</f>
        <v>50906.479005000001</v>
      </c>
      <c r="K141" s="76">
        <v>4.6390383566581548</v>
      </c>
      <c r="L141" s="96">
        <f>G141*(J141/K141)</f>
        <v>32920.494566683257</v>
      </c>
    </row>
    <row r="142" spans="3:12" hidden="1" x14ac:dyDescent="0.25">
      <c r="C142" s="79"/>
      <c r="D142" s="460"/>
      <c r="E142" s="461"/>
      <c r="F142" s="97"/>
      <c r="G142" s="76"/>
      <c r="H142" s="101"/>
      <c r="I142" s="102"/>
      <c r="J142" s="103"/>
      <c r="K142" s="76"/>
      <c r="L142" s="96"/>
    </row>
    <row r="143" spans="3:12" hidden="1" x14ac:dyDescent="0.25">
      <c r="C143" s="90"/>
      <c r="D143" s="493"/>
      <c r="E143" s="493"/>
      <c r="F143" s="97"/>
      <c r="G143" s="76"/>
      <c r="H143" s="101"/>
      <c r="I143" s="102"/>
      <c r="J143" s="103"/>
      <c r="K143" s="76"/>
      <c r="L143" s="96"/>
    </row>
    <row r="144" spans="3:12" s="116" customFormat="1" ht="13.5" hidden="1" thickBot="1" x14ac:dyDescent="0.3">
      <c r="C144" s="83"/>
      <c r="D144" s="485" t="s">
        <v>520</v>
      </c>
      <c r="E144" s="485"/>
      <c r="F144" s="485"/>
      <c r="G144" s="485"/>
      <c r="H144" s="485"/>
      <c r="I144" s="485"/>
      <c r="J144" s="485"/>
      <c r="K144" s="485"/>
      <c r="L144" s="98">
        <f>L142+L141</f>
        <v>32920.494566683257</v>
      </c>
    </row>
    <row r="145" spans="3:12" ht="13.5" hidden="1" thickBot="1" x14ac:dyDescent="0.3">
      <c r="C145" s="486"/>
      <c r="D145" s="487"/>
      <c r="E145" s="487"/>
      <c r="F145" s="487"/>
      <c r="G145" s="487"/>
      <c r="H145" s="487"/>
      <c r="I145" s="487"/>
      <c r="J145" s="487"/>
      <c r="K145" s="487"/>
      <c r="L145" s="488"/>
    </row>
    <row r="146" spans="3:12" ht="13.5" hidden="1" thickBot="1" x14ac:dyDescent="0.3">
      <c r="C146" s="489" t="s">
        <v>521</v>
      </c>
      <c r="D146" s="490"/>
      <c r="E146" s="490"/>
      <c r="F146" s="490"/>
      <c r="G146" s="490"/>
      <c r="H146" s="490"/>
      <c r="I146" s="490"/>
      <c r="J146" s="491"/>
      <c r="K146" s="145">
        <f>ROUND(L144+L137+L130+L124,0)</f>
        <v>67400</v>
      </c>
      <c r="L146" s="146"/>
    </row>
    <row r="147" spans="3:12" hidden="1" x14ac:dyDescent="0.25"/>
    <row r="148" spans="3:12" ht="13.5" hidden="1" thickBot="1" x14ac:dyDescent="0.3"/>
    <row r="149" spans="3:12" s="116" customFormat="1" hidden="1" x14ac:dyDescent="0.25">
      <c r="C149" s="466" t="s">
        <v>495</v>
      </c>
      <c r="D149" s="467"/>
      <c r="E149" s="467"/>
      <c r="F149" s="467"/>
      <c r="G149" s="467"/>
      <c r="H149" s="467"/>
      <c r="I149" s="467"/>
      <c r="J149" s="467"/>
      <c r="K149" s="467"/>
      <c r="L149" s="468"/>
    </row>
    <row r="150" spans="3:12" s="116" customFormat="1" ht="12.75" hidden="1" customHeight="1" x14ac:dyDescent="0.25">
      <c r="C150" s="469" t="str">
        <f>+PPTO!A2</f>
        <v>REPOSICION E INSTALACION VALVULAS DE SECTORIZACION EN DIFERENTES SECTORES DEL MUNICIPIO DE PIEDECUESTA - SANTANDER.</v>
      </c>
      <c r="D150" s="470"/>
      <c r="E150" s="470"/>
      <c r="F150" s="470"/>
      <c r="G150" s="470"/>
      <c r="H150" s="470"/>
      <c r="I150" s="470"/>
      <c r="J150" s="470"/>
      <c r="K150" s="470"/>
      <c r="L150" s="471"/>
    </row>
    <row r="151" spans="3:12" hidden="1" x14ac:dyDescent="0.25">
      <c r="C151" s="472" t="s">
        <v>496</v>
      </c>
      <c r="D151" s="141">
        <f>+PPTO!A10</f>
        <v>2</v>
      </c>
      <c r="E151" s="474" t="str">
        <f>+PPTO!B10</f>
        <v>MOVIMIENTO DE  TIERRAS</v>
      </c>
      <c r="F151" s="475"/>
      <c r="G151" s="475"/>
      <c r="H151" s="475"/>
      <c r="I151" s="475"/>
      <c r="J151" s="475"/>
      <c r="K151" s="475"/>
      <c r="L151" s="70" t="s">
        <v>52</v>
      </c>
    </row>
    <row r="152" spans="3:12" ht="12.75" hidden="1" customHeight="1" thickBot="1" x14ac:dyDescent="0.3">
      <c r="C152" s="473"/>
      <c r="D152" s="120">
        <f>+PPTO!A11</f>
        <v>2.0099999999999998</v>
      </c>
      <c r="E152" s="476" t="str">
        <f>+PPTO!B11</f>
        <v>Excavaciones en material comun y/o conglomerado sin entibados Prof=0-2,50 mts</v>
      </c>
      <c r="F152" s="476"/>
      <c r="G152" s="476"/>
      <c r="H152" s="476"/>
      <c r="I152" s="476"/>
      <c r="J152" s="476"/>
      <c r="K152" s="476"/>
      <c r="L152" s="71" t="str">
        <f>+PPTO!C11</f>
        <v>M3</v>
      </c>
    </row>
    <row r="153" spans="3:12" ht="13.5" hidden="1" thickBot="1" x14ac:dyDescent="0.3">
      <c r="C153" s="477"/>
      <c r="D153" s="478"/>
      <c r="E153" s="478"/>
      <c r="F153" s="478"/>
      <c r="G153" s="478"/>
      <c r="H153" s="478"/>
      <c r="I153" s="478"/>
      <c r="J153" s="478"/>
      <c r="K153" s="478"/>
      <c r="L153" s="479"/>
    </row>
    <row r="154" spans="3:12" hidden="1" x14ac:dyDescent="0.25">
      <c r="C154" s="466" t="s">
        <v>497</v>
      </c>
      <c r="D154" s="467"/>
      <c r="E154" s="467"/>
      <c r="F154" s="467"/>
      <c r="G154" s="467"/>
      <c r="H154" s="467"/>
      <c r="I154" s="467"/>
      <c r="J154" s="467"/>
      <c r="K154" s="467"/>
      <c r="L154" s="468"/>
    </row>
    <row r="155" spans="3:12" hidden="1" x14ac:dyDescent="0.25">
      <c r="C155" s="72" t="s">
        <v>66</v>
      </c>
      <c r="D155" s="492" t="s">
        <v>498</v>
      </c>
      <c r="E155" s="492"/>
      <c r="F155" s="492"/>
      <c r="G155" s="492"/>
      <c r="H155" s="492"/>
      <c r="I155" s="73" t="s">
        <v>499</v>
      </c>
      <c r="J155" s="74" t="s">
        <v>500</v>
      </c>
      <c r="K155" s="73" t="s">
        <v>501</v>
      </c>
      <c r="L155" s="70" t="s">
        <v>502</v>
      </c>
    </row>
    <row r="156" spans="3:12" hidden="1" x14ac:dyDescent="0.25">
      <c r="C156" s="75"/>
      <c r="D156" s="460"/>
      <c r="E156" s="499"/>
      <c r="F156" s="499"/>
      <c r="G156" s="499"/>
      <c r="H156" s="461"/>
      <c r="I156" s="76"/>
      <c r="J156" s="76"/>
      <c r="K156" s="77"/>
      <c r="L156" s="82"/>
    </row>
    <row r="157" spans="3:12" hidden="1" x14ac:dyDescent="0.25">
      <c r="C157" s="79"/>
      <c r="D157" s="493" t="s">
        <v>503</v>
      </c>
      <c r="E157" s="493"/>
      <c r="F157" s="493"/>
      <c r="G157" s="493"/>
      <c r="H157" s="493"/>
      <c r="I157" s="76" t="s">
        <v>61</v>
      </c>
      <c r="J157" s="80">
        <v>1</v>
      </c>
      <c r="K157" s="81">
        <f>L178*0.1</f>
        <v>2454.5472615555391</v>
      </c>
      <c r="L157" s="82">
        <f>K157/J157</f>
        <v>2454.5472615555391</v>
      </c>
    </row>
    <row r="158" spans="3:12" hidden="1" x14ac:dyDescent="0.25">
      <c r="C158" s="79"/>
      <c r="D158" s="493"/>
      <c r="E158" s="493"/>
      <c r="F158" s="493"/>
      <c r="G158" s="493"/>
      <c r="H158" s="493"/>
      <c r="I158" s="76"/>
      <c r="J158" s="76"/>
      <c r="K158" s="81"/>
      <c r="L158" s="82"/>
    </row>
    <row r="159" spans="3:12" s="116" customFormat="1" ht="13.5" hidden="1" thickBot="1" x14ac:dyDescent="0.3">
      <c r="C159" s="83"/>
      <c r="D159" s="485" t="s">
        <v>504</v>
      </c>
      <c r="E159" s="485"/>
      <c r="F159" s="485"/>
      <c r="G159" s="485"/>
      <c r="H159" s="485"/>
      <c r="I159" s="485"/>
      <c r="J159" s="485"/>
      <c r="K159" s="485"/>
      <c r="L159" s="84">
        <f>L157+L156</f>
        <v>2454.5472615555391</v>
      </c>
    </row>
    <row r="160" spans="3:12" s="116" customFormat="1" ht="13.5" hidden="1" thickBot="1" x14ac:dyDescent="0.3">
      <c r="C160" s="477"/>
      <c r="D160" s="478"/>
      <c r="E160" s="478"/>
      <c r="F160" s="478"/>
      <c r="G160" s="478"/>
      <c r="H160" s="478"/>
      <c r="I160" s="478"/>
      <c r="J160" s="478"/>
      <c r="K160" s="478"/>
      <c r="L160" s="479"/>
    </row>
    <row r="161" spans="3:12" hidden="1" x14ac:dyDescent="0.25">
      <c r="C161" s="466" t="s">
        <v>505</v>
      </c>
      <c r="D161" s="467"/>
      <c r="E161" s="467"/>
      <c r="F161" s="467"/>
      <c r="G161" s="467"/>
      <c r="H161" s="467"/>
      <c r="I161" s="467"/>
      <c r="J161" s="467"/>
      <c r="K161" s="467"/>
      <c r="L161" s="468"/>
    </row>
    <row r="162" spans="3:12" ht="25.5" hidden="1" x14ac:dyDescent="0.25">
      <c r="C162" s="72" t="s">
        <v>66</v>
      </c>
      <c r="D162" s="492" t="s">
        <v>498</v>
      </c>
      <c r="E162" s="492"/>
      <c r="F162" s="492"/>
      <c r="G162" s="492"/>
      <c r="H162" s="73" t="s">
        <v>499</v>
      </c>
      <c r="I162" s="74" t="s">
        <v>506</v>
      </c>
      <c r="J162" s="73" t="s">
        <v>501</v>
      </c>
      <c r="K162" s="85" t="s">
        <v>507</v>
      </c>
      <c r="L162" s="70" t="s">
        <v>502</v>
      </c>
    </row>
    <row r="163" spans="3:12" ht="12.75" hidden="1" customHeight="1" x14ac:dyDescent="0.25">
      <c r="C163" s="72"/>
      <c r="D163" s="498"/>
      <c r="E163" s="496"/>
      <c r="F163" s="496"/>
      <c r="G163" s="497"/>
      <c r="H163" s="73"/>
      <c r="I163" s="76"/>
      <c r="J163" s="86"/>
      <c r="K163" s="87"/>
      <c r="L163" s="88"/>
    </row>
    <row r="164" spans="3:12" hidden="1" x14ac:dyDescent="0.25">
      <c r="C164" s="90"/>
      <c r="D164" s="500"/>
      <c r="E164" s="500"/>
      <c r="F164" s="500"/>
      <c r="G164" s="500"/>
      <c r="H164" s="97"/>
      <c r="I164" s="91"/>
      <c r="J164" s="92"/>
      <c r="K164" s="93"/>
      <c r="L164" s="82"/>
    </row>
    <row r="165" spans="3:12" ht="13.5" hidden="1" thickBot="1" x14ac:dyDescent="0.3">
      <c r="C165" s="94"/>
      <c r="D165" s="485" t="s">
        <v>508</v>
      </c>
      <c r="E165" s="485"/>
      <c r="F165" s="485"/>
      <c r="G165" s="485"/>
      <c r="H165" s="485"/>
      <c r="I165" s="485"/>
      <c r="J165" s="485"/>
      <c r="K165" s="485"/>
      <c r="L165" s="84">
        <f>SUM(L163:L164)</f>
        <v>0</v>
      </c>
    </row>
    <row r="166" spans="3:12" ht="13.5" hidden="1" thickBot="1" x14ac:dyDescent="0.3">
      <c r="C166" s="486"/>
      <c r="D166" s="487"/>
      <c r="E166" s="487"/>
      <c r="F166" s="487"/>
      <c r="G166" s="487"/>
      <c r="H166" s="487"/>
      <c r="I166" s="487"/>
      <c r="J166" s="487"/>
      <c r="K166" s="487"/>
      <c r="L166" s="488"/>
    </row>
    <row r="167" spans="3:12" hidden="1" x14ac:dyDescent="0.25">
      <c r="C167" s="466" t="s">
        <v>509</v>
      </c>
      <c r="D167" s="467"/>
      <c r="E167" s="467"/>
      <c r="F167" s="467"/>
      <c r="G167" s="467"/>
      <c r="H167" s="467"/>
      <c r="I167" s="467"/>
      <c r="J167" s="467"/>
      <c r="K167" s="467"/>
      <c r="L167" s="468"/>
    </row>
    <row r="168" spans="3:12" hidden="1" x14ac:dyDescent="0.25">
      <c r="C168" s="72" t="s">
        <v>66</v>
      </c>
      <c r="D168" s="492" t="s">
        <v>498</v>
      </c>
      <c r="E168" s="492"/>
      <c r="F168" s="492"/>
      <c r="G168" s="492"/>
      <c r="H168" s="73" t="s">
        <v>506</v>
      </c>
      <c r="I168" s="73" t="s">
        <v>499</v>
      </c>
      <c r="J168" s="74" t="s">
        <v>510</v>
      </c>
      <c r="K168" s="85" t="s">
        <v>511</v>
      </c>
      <c r="L168" s="70" t="s">
        <v>502</v>
      </c>
    </row>
    <row r="169" spans="3:12" hidden="1" x14ac:dyDescent="0.25">
      <c r="C169" s="90"/>
      <c r="D169" s="494"/>
      <c r="E169" s="494"/>
      <c r="F169" s="494"/>
      <c r="G169" s="494"/>
      <c r="H169" s="76"/>
      <c r="I169" s="97"/>
      <c r="J169" s="139"/>
      <c r="K169" s="95"/>
      <c r="L169" s="96"/>
    </row>
    <row r="170" spans="3:12" ht="30.75" hidden="1" customHeight="1" x14ac:dyDescent="0.25">
      <c r="C170" s="90"/>
      <c r="D170" s="495"/>
      <c r="E170" s="495"/>
      <c r="F170" s="495"/>
      <c r="G170" s="495"/>
      <c r="H170" s="76"/>
      <c r="I170" s="97"/>
      <c r="J170" s="97"/>
      <c r="K170" s="95"/>
      <c r="L170" s="96"/>
    </row>
    <row r="171" spans="3:12" ht="13.5" hidden="1" thickBot="1" x14ac:dyDescent="0.3">
      <c r="C171" s="83"/>
      <c r="D171" s="485" t="s">
        <v>512</v>
      </c>
      <c r="E171" s="485"/>
      <c r="F171" s="485"/>
      <c r="G171" s="485"/>
      <c r="H171" s="485"/>
      <c r="I171" s="485"/>
      <c r="J171" s="485"/>
      <c r="K171" s="485"/>
      <c r="L171" s="98">
        <f>L169</f>
        <v>0</v>
      </c>
    </row>
    <row r="172" spans="3:12" ht="13.5" hidden="1" thickBot="1" x14ac:dyDescent="0.3">
      <c r="C172" s="477"/>
      <c r="D172" s="478"/>
      <c r="E172" s="478"/>
      <c r="F172" s="478"/>
      <c r="G172" s="478"/>
      <c r="H172" s="478"/>
      <c r="I172" s="478"/>
      <c r="J172" s="478"/>
      <c r="K172" s="478"/>
      <c r="L172" s="479"/>
    </row>
    <row r="173" spans="3:12" s="116" customFormat="1" hidden="1" x14ac:dyDescent="0.25">
      <c r="C173" s="466" t="s">
        <v>513</v>
      </c>
      <c r="D173" s="467"/>
      <c r="E173" s="467"/>
      <c r="F173" s="467"/>
      <c r="G173" s="467"/>
      <c r="H173" s="467"/>
      <c r="I173" s="467"/>
      <c r="J173" s="467"/>
      <c r="K173" s="467"/>
      <c r="L173" s="468"/>
    </row>
    <row r="174" spans="3:12" s="116" customFormat="1" hidden="1" x14ac:dyDescent="0.25">
      <c r="C174" s="72" t="s">
        <v>66</v>
      </c>
      <c r="D174" s="492" t="s">
        <v>498</v>
      </c>
      <c r="E174" s="492"/>
      <c r="F174" s="85" t="s">
        <v>499</v>
      </c>
      <c r="G174" s="85" t="s">
        <v>506</v>
      </c>
      <c r="H174" s="73" t="s">
        <v>514</v>
      </c>
      <c r="I174" s="99" t="s">
        <v>515</v>
      </c>
      <c r="J174" s="85" t="s">
        <v>516</v>
      </c>
      <c r="K174" s="99" t="s">
        <v>517</v>
      </c>
      <c r="L174" s="100" t="s">
        <v>502</v>
      </c>
    </row>
    <row r="175" spans="3:12" hidden="1" x14ac:dyDescent="0.25">
      <c r="C175" s="79"/>
      <c r="D175" s="460"/>
      <c r="E175" s="461"/>
      <c r="F175" s="97"/>
      <c r="G175" s="76"/>
      <c r="H175" s="101"/>
      <c r="I175" s="102"/>
      <c r="J175" s="103"/>
      <c r="K175" s="76"/>
      <c r="L175" s="96"/>
    </row>
    <row r="176" spans="3:12" hidden="1" x14ac:dyDescent="0.25">
      <c r="C176" s="79" t="s">
        <v>519</v>
      </c>
      <c r="D176" s="460" t="str">
        <f>'MANO DE OBRA'!$B$3</f>
        <v>Ayudante</v>
      </c>
      <c r="E176" s="461"/>
      <c r="F176" s="97" t="str">
        <f>'MANO DE OBRA'!$C$3</f>
        <v>DIA</v>
      </c>
      <c r="G176" s="76">
        <v>5</v>
      </c>
      <c r="H176" s="101">
        <f>'MANO DE OBRA'!$D$3</f>
        <v>28981.77</v>
      </c>
      <c r="I176" s="102">
        <v>0.75649999999999995</v>
      </c>
      <c r="J176" s="103">
        <f>(H176+(H176*I176))</f>
        <v>50906.479005000001</v>
      </c>
      <c r="K176" s="139">
        <v>10.369830681675008</v>
      </c>
      <c r="L176" s="96">
        <f>G176*(J176/K176)</f>
        <v>24545.472615555391</v>
      </c>
    </row>
    <row r="177" spans="3:12" hidden="1" x14ac:dyDescent="0.25">
      <c r="C177" s="90"/>
      <c r="D177" s="493"/>
      <c r="E177" s="493"/>
      <c r="F177" s="97"/>
      <c r="G177" s="76"/>
      <c r="H177" s="101"/>
      <c r="I177" s="102"/>
      <c r="J177" s="103"/>
      <c r="K177" s="76"/>
      <c r="L177" s="96"/>
    </row>
    <row r="178" spans="3:12" ht="13.5" hidden="1" thickBot="1" x14ac:dyDescent="0.3">
      <c r="C178" s="83"/>
      <c r="D178" s="485" t="s">
        <v>520</v>
      </c>
      <c r="E178" s="485"/>
      <c r="F178" s="485"/>
      <c r="G178" s="485"/>
      <c r="H178" s="485"/>
      <c r="I178" s="485"/>
      <c r="J178" s="485"/>
      <c r="K178" s="485"/>
      <c r="L178" s="98">
        <f>L176+L175</f>
        <v>24545.472615555391</v>
      </c>
    </row>
    <row r="179" spans="3:12" ht="13.5" hidden="1" thickBot="1" x14ac:dyDescent="0.3">
      <c r="C179" s="486"/>
      <c r="D179" s="487"/>
      <c r="E179" s="487"/>
      <c r="F179" s="487"/>
      <c r="G179" s="487"/>
      <c r="H179" s="487"/>
      <c r="I179" s="487"/>
      <c r="J179" s="487"/>
      <c r="K179" s="487"/>
      <c r="L179" s="488"/>
    </row>
    <row r="180" spans="3:12" s="116" customFormat="1" ht="13.5" hidden="1" thickBot="1" x14ac:dyDescent="0.3">
      <c r="C180" s="489" t="s">
        <v>521</v>
      </c>
      <c r="D180" s="490"/>
      <c r="E180" s="490"/>
      <c r="F180" s="490"/>
      <c r="G180" s="490"/>
      <c r="H180" s="490"/>
      <c r="I180" s="490"/>
      <c r="J180" s="491"/>
      <c r="K180" s="145">
        <f>ROUND(L178+L171+L165+L159,0)</f>
        <v>27000</v>
      </c>
      <c r="L180" s="146"/>
    </row>
    <row r="181" spans="3:12" hidden="1" x14ac:dyDescent="0.25"/>
    <row r="182" spans="3:12" ht="13.5" hidden="1" thickBot="1" x14ac:dyDescent="0.3"/>
    <row r="183" spans="3:12" s="116" customFormat="1" hidden="1" x14ac:dyDescent="0.25">
      <c r="C183" s="466" t="s">
        <v>495</v>
      </c>
      <c r="D183" s="467"/>
      <c r="E183" s="467"/>
      <c r="F183" s="467"/>
      <c r="G183" s="467"/>
      <c r="H183" s="467"/>
      <c r="I183" s="467"/>
      <c r="J183" s="467"/>
      <c r="K183" s="467"/>
      <c r="L183" s="468"/>
    </row>
    <row r="184" spans="3:12" s="116" customFormat="1" ht="12.75" hidden="1" customHeight="1" x14ac:dyDescent="0.25">
      <c r="C184" s="469" t="str">
        <f>+PPTO!A2</f>
        <v>REPOSICION E INSTALACION VALVULAS DE SECTORIZACION EN DIFERENTES SECTORES DEL MUNICIPIO DE PIEDECUESTA - SANTANDER.</v>
      </c>
      <c r="D184" s="470"/>
      <c r="E184" s="470"/>
      <c r="F184" s="470"/>
      <c r="G184" s="470"/>
      <c r="H184" s="470"/>
      <c r="I184" s="470"/>
      <c r="J184" s="470"/>
      <c r="K184" s="470"/>
      <c r="L184" s="471"/>
    </row>
    <row r="185" spans="3:12" hidden="1" x14ac:dyDescent="0.25">
      <c r="C185" s="472" t="s">
        <v>496</v>
      </c>
      <c r="D185" s="141">
        <f>+PPTO!A10</f>
        <v>2</v>
      </c>
      <c r="E185" s="474" t="str">
        <f>+PPTO!B10</f>
        <v>MOVIMIENTO DE  TIERRAS</v>
      </c>
      <c r="F185" s="475"/>
      <c r="G185" s="475"/>
      <c r="H185" s="475"/>
      <c r="I185" s="475"/>
      <c r="J185" s="475"/>
      <c r="K185" s="475"/>
      <c r="L185" s="70" t="s">
        <v>52</v>
      </c>
    </row>
    <row r="186" spans="3:12" ht="12.75" hidden="1" customHeight="1" thickBot="1" x14ac:dyDescent="0.3">
      <c r="C186" s="473"/>
      <c r="D186" s="120">
        <f>+PPTO!A12</f>
        <v>2.02</v>
      </c>
      <c r="E186" s="476" t="str">
        <f>+PPTO!B12</f>
        <v>Relleno en material común compactado</v>
      </c>
      <c r="F186" s="476"/>
      <c r="G186" s="476"/>
      <c r="H186" s="476"/>
      <c r="I186" s="476"/>
      <c r="J186" s="476"/>
      <c r="K186" s="476"/>
      <c r="L186" s="71" t="str">
        <f>+PPTO!C12</f>
        <v>M3</v>
      </c>
    </row>
    <row r="187" spans="3:12" ht="13.5" hidden="1" thickBot="1" x14ac:dyDescent="0.3">
      <c r="C187" s="477"/>
      <c r="D187" s="478"/>
      <c r="E187" s="478"/>
      <c r="F187" s="478"/>
      <c r="G187" s="478"/>
      <c r="H187" s="478"/>
      <c r="I187" s="478"/>
      <c r="J187" s="478"/>
      <c r="K187" s="478"/>
      <c r="L187" s="479"/>
    </row>
    <row r="188" spans="3:12" hidden="1" x14ac:dyDescent="0.25">
      <c r="C188" s="466" t="s">
        <v>497</v>
      </c>
      <c r="D188" s="467"/>
      <c r="E188" s="467"/>
      <c r="F188" s="467"/>
      <c r="G188" s="467"/>
      <c r="H188" s="467"/>
      <c r="I188" s="467"/>
      <c r="J188" s="467"/>
      <c r="K188" s="467"/>
      <c r="L188" s="468"/>
    </row>
    <row r="189" spans="3:12" hidden="1" x14ac:dyDescent="0.25">
      <c r="C189" s="72" t="s">
        <v>66</v>
      </c>
      <c r="D189" s="492" t="s">
        <v>498</v>
      </c>
      <c r="E189" s="492"/>
      <c r="F189" s="492"/>
      <c r="G189" s="492"/>
      <c r="H189" s="492"/>
      <c r="I189" s="73" t="s">
        <v>499</v>
      </c>
      <c r="J189" s="74" t="s">
        <v>500</v>
      </c>
      <c r="K189" s="73" t="s">
        <v>501</v>
      </c>
      <c r="L189" s="70" t="s">
        <v>502</v>
      </c>
    </row>
    <row r="190" spans="3:12" hidden="1" x14ac:dyDescent="0.25">
      <c r="C190" s="75" t="s">
        <v>10</v>
      </c>
      <c r="D190" s="460" t="str">
        <f>+EQUIPO!B6</f>
        <v>Vibrocompactador (rana)</v>
      </c>
      <c r="E190" s="499"/>
      <c r="F190" s="499"/>
      <c r="G190" s="499"/>
      <c r="H190" s="461"/>
      <c r="I190" s="76" t="str">
        <f>+EQUIPO!C6</f>
        <v>día</v>
      </c>
      <c r="J190" s="76">
        <v>9</v>
      </c>
      <c r="K190" s="77">
        <f>+EQUIPO!D6</f>
        <v>60000</v>
      </c>
      <c r="L190" s="82">
        <f>K190/J190</f>
        <v>6666.666666666667</v>
      </c>
    </row>
    <row r="191" spans="3:12" hidden="1" x14ac:dyDescent="0.25">
      <c r="C191" s="79"/>
      <c r="D191" s="493" t="s">
        <v>503</v>
      </c>
      <c r="E191" s="493"/>
      <c r="F191" s="493"/>
      <c r="G191" s="493"/>
      <c r="H191" s="493"/>
      <c r="I191" s="76" t="s">
        <v>61</v>
      </c>
      <c r="J191" s="80">
        <v>1</v>
      </c>
      <c r="K191" s="81">
        <f>L213*0.1</f>
        <v>2084.835699750121</v>
      </c>
      <c r="L191" s="82">
        <f>K191/J191</f>
        <v>2084.835699750121</v>
      </c>
    </row>
    <row r="192" spans="3:12" hidden="1" x14ac:dyDescent="0.25">
      <c r="C192" s="79"/>
      <c r="D192" s="493"/>
      <c r="E192" s="493"/>
      <c r="F192" s="493"/>
      <c r="G192" s="493"/>
      <c r="H192" s="493"/>
      <c r="I192" s="76"/>
      <c r="J192" s="76"/>
      <c r="K192" s="81"/>
      <c r="L192" s="82"/>
    </row>
    <row r="193" spans="3:12" s="116" customFormat="1" ht="13.5" hidden="1" thickBot="1" x14ac:dyDescent="0.3">
      <c r="C193" s="83"/>
      <c r="D193" s="485" t="s">
        <v>504</v>
      </c>
      <c r="E193" s="485"/>
      <c r="F193" s="485"/>
      <c r="G193" s="485"/>
      <c r="H193" s="485"/>
      <c r="I193" s="485"/>
      <c r="J193" s="485"/>
      <c r="K193" s="485"/>
      <c r="L193" s="84">
        <f>L191+L190</f>
        <v>8751.5023664167875</v>
      </c>
    </row>
    <row r="194" spans="3:12" s="116" customFormat="1" ht="13.5" hidden="1" thickBot="1" x14ac:dyDescent="0.3">
      <c r="C194" s="477"/>
      <c r="D194" s="478"/>
      <c r="E194" s="478"/>
      <c r="F194" s="478"/>
      <c r="G194" s="478"/>
      <c r="H194" s="478"/>
      <c r="I194" s="478"/>
      <c r="J194" s="478"/>
      <c r="K194" s="478"/>
      <c r="L194" s="479"/>
    </row>
    <row r="195" spans="3:12" hidden="1" x14ac:dyDescent="0.25">
      <c r="C195" s="466" t="s">
        <v>505</v>
      </c>
      <c r="D195" s="467"/>
      <c r="E195" s="467"/>
      <c r="F195" s="467"/>
      <c r="G195" s="467"/>
      <c r="H195" s="467"/>
      <c r="I195" s="467"/>
      <c r="J195" s="467"/>
      <c r="K195" s="467"/>
      <c r="L195" s="468"/>
    </row>
    <row r="196" spans="3:12" ht="25.5" hidden="1" x14ac:dyDescent="0.25">
      <c r="C196" s="72" t="s">
        <v>66</v>
      </c>
      <c r="D196" s="492" t="s">
        <v>498</v>
      </c>
      <c r="E196" s="492"/>
      <c r="F196" s="492"/>
      <c r="G196" s="492"/>
      <c r="H196" s="73" t="s">
        <v>499</v>
      </c>
      <c r="I196" s="74" t="s">
        <v>506</v>
      </c>
      <c r="J196" s="73" t="s">
        <v>501</v>
      </c>
      <c r="K196" s="85" t="s">
        <v>507</v>
      </c>
      <c r="L196" s="70" t="s">
        <v>502</v>
      </c>
    </row>
    <row r="197" spans="3:12" ht="12.75" hidden="1" customHeight="1" x14ac:dyDescent="0.25">
      <c r="C197" s="72"/>
      <c r="D197" s="498"/>
      <c r="E197" s="496"/>
      <c r="F197" s="496"/>
      <c r="G197" s="497"/>
      <c r="H197" s="73"/>
      <c r="I197" s="76"/>
      <c r="J197" s="86"/>
      <c r="K197" s="87"/>
      <c r="L197" s="88"/>
    </row>
    <row r="198" spans="3:12" hidden="1" x14ac:dyDescent="0.25">
      <c r="C198" s="90"/>
      <c r="D198" s="500"/>
      <c r="E198" s="500"/>
      <c r="F198" s="500"/>
      <c r="G198" s="500"/>
      <c r="H198" s="97"/>
      <c r="I198" s="91"/>
      <c r="J198" s="92"/>
      <c r="K198" s="93"/>
      <c r="L198" s="82"/>
    </row>
    <row r="199" spans="3:12" ht="13.5" hidden="1" thickBot="1" x14ac:dyDescent="0.3">
      <c r="C199" s="94"/>
      <c r="D199" s="485" t="s">
        <v>508</v>
      </c>
      <c r="E199" s="485"/>
      <c r="F199" s="485"/>
      <c r="G199" s="485"/>
      <c r="H199" s="485"/>
      <c r="I199" s="485"/>
      <c r="J199" s="485"/>
      <c r="K199" s="485"/>
      <c r="L199" s="84">
        <f>SUM(L197:L198)</f>
        <v>0</v>
      </c>
    </row>
    <row r="200" spans="3:12" ht="13.5" hidden="1" thickBot="1" x14ac:dyDescent="0.3">
      <c r="C200" s="486"/>
      <c r="D200" s="487"/>
      <c r="E200" s="487"/>
      <c r="F200" s="487"/>
      <c r="G200" s="487"/>
      <c r="H200" s="487"/>
      <c r="I200" s="487"/>
      <c r="J200" s="487"/>
      <c r="K200" s="487"/>
      <c r="L200" s="488"/>
    </row>
    <row r="201" spans="3:12" hidden="1" x14ac:dyDescent="0.25">
      <c r="C201" s="466" t="s">
        <v>509</v>
      </c>
      <c r="D201" s="467"/>
      <c r="E201" s="467"/>
      <c r="F201" s="467"/>
      <c r="G201" s="467"/>
      <c r="H201" s="467"/>
      <c r="I201" s="467"/>
      <c r="J201" s="467"/>
      <c r="K201" s="467"/>
      <c r="L201" s="468"/>
    </row>
    <row r="202" spans="3:12" hidden="1" x14ac:dyDescent="0.25">
      <c r="C202" s="72" t="s">
        <v>66</v>
      </c>
      <c r="D202" s="492" t="s">
        <v>498</v>
      </c>
      <c r="E202" s="492"/>
      <c r="F202" s="492"/>
      <c r="G202" s="492"/>
      <c r="H202" s="73" t="s">
        <v>506</v>
      </c>
      <c r="I202" s="73" t="s">
        <v>499</v>
      </c>
      <c r="J202" s="74" t="s">
        <v>510</v>
      </c>
      <c r="K202" s="85" t="s">
        <v>511</v>
      </c>
      <c r="L202" s="70" t="s">
        <v>502</v>
      </c>
    </row>
    <row r="203" spans="3:12" hidden="1" x14ac:dyDescent="0.25">
      <c r="C203" s="90"/>
      <c r="D203" s="494"/>
      <c r="E203" s="494"/>
      <c r="F203" s="494"/>
      <c r="G203" s="494"/>
      <c r="H203" s="76"/>
      <c r="I203" s="97"/>
      <c r="J203" s="97"/>
      <c r="K203" s="95"/>
      <c r="L203" s="96"/>
    </row>
    <row r="204" spans="3:12" hidden="1" x14ac:dyDescent="0.25">
      <c r="C204" s="90"/>
      <c r="D204" s="495"/>
      <c r="E204" s="495"/>
      <c r="F204" s="495"/>
      <c r="G204" s="495"/>
      <c r="H204" s="76"/>
      <c r="I204" s="97"/>
      <c r="J204" s="97"/>
      <c r="K204" s="95"/>
      <c r="L204" s="96"/>
    </row>
    <row r="205" spans="3:12" hidden="1" x14ac:dyDescent="0.25">
      <c r="C205" s="90"/>
      <c r="D205" s="495"/>
      <c r="E205" s="495"/>
      <c r="F205" s="495"/>
      <c r="G205" s="495"/>
      <c r="H205" s="76"/>
      <c r="I205" s="97"/>
      <c r="J205" s="97"/>
      <c r="K205" s="95"/>
      <c r="L205" s="96"/>
    </row>
    <row r="206" spans="3:12" ht="13.5" hidden="1" thickBot="1" x14ac:dyDescent="0.3">
      <c r="C206" s="83"/>
      <c r="D206" s="485" t="s">
        <v>512</v>
      </c>
      <c r="E206" s="485"/>
      <c r="F206" s="485"/>
      <c r="G206" s="485"/>
      <c r="H206" s="485"/>
      <c r="I206" s="485"/>
      <c r="J206" s="485"/>
      <c r="K206" s="485"/>
      <c r="L206" s="98">
        <f>L203</f>
        <v>0</v>
      </c>
    </row>
    <row r="207" spans="3:12" s="116" customFormat="1" ht="13.5" hidden="1" thickBot="1" x14ac:dyDescent="0.3">
      <c r="C207" s="477"/>
      <c r="D207" s="478"/>
      <c r="E207" s="478"/>
      <c r="F207" s="478"/>
      <c r="G207" s="478"/>
      <c r="H207" s="478"/>
      <c r="I207" s="478"/>
      <c r="J207" s="478"/>
      <c r="K207" s="478"/>
      <c r="L207" s="479"/>
    </row>
    <row r="208" spans="3:12" s="116" customFormat="1" hidden="1" x14ac:dyDescent="0.25">
      <c r="C208" s="466" t="s">
        <v>513</v>
      </c>
      <c r="D208" s="467"/>
      <c r="E208" s="467"/>
      <c r="F208" s="467"/>
      <c r="G208" s="467"/>
      <c r="H208" s="467"/>
      <c r="I208" s="467"/>
      <c r="J208" s="467"/>
      <c r="K208" s="467"/>
      <c r="L208" s="468"/>
    </row>
    <row r="209" spans="3:12" hidden="1" x14ac:dyDescent="0.25">
      <c r="C209" s="72" t="s">
        <v>66</v>
      </c>
      <c r="D209" s="492" t="s">
        <v>498</v>
      </c>
      <c r="E209" s="492"/>
      <c r="F209" s="85" t="s">
        <v>499</v>
      </c>
      <c r="G209" s="85" t="s">
        <v>506</v>
      </c>
      <c r="H209" s="73" t="s">
        <v>514</v>
      </c>
      <c r="I209" s="99" t="s">
        <v>515</v>
      </c>
      <c r="J209" s="85" t="s">
        <v>516</v>
      </c>
      <c r="K209" s="99" t="s">
        <v>517</v>
      </c>
      <c r="L209" s="100" t="s">
        <v>502</v>
      </c>
    </row>
    <row r="210" spans="3:12" hidden="1" x14ac:dyDescent="0.25">
      <c r="C210" s="79" t="s">
        <v>518</v>
      </c>
      <c r="D210" s="460" t="str">
        <f>'MANO DE OBRA'!$B$2</f>
        <v>Oficial</v>
      </c>
      <c r="E210" s="461"/>
      <c r="F210" s="97" t="str">
        <f>'MANO DE OBRA'!$C$2</f>
        <v>DIA</v>
      </c>
      <c r="G210" s="76">
        <v>1</v>
      </c>
      <c r="H210" s="101">
        <f>'MANO DE OBRA'!$D$2</f>
        <v>47982</v>
      </c>
      <c r="I210" s="102">
        <v>0.75649999999999995</v>
      </c>
      <c r="J210" s="103">
        <f>(H210+(H210*I210))</f>
        <v>84280.383000000002</v>
      </c>
      <c r="K210" s="139">
        <v>8.9260434782608691</v>
      </c>
      <c r="L210" s="96">
        <f>G210*(J210/K210)</f>
        <v>9442.0762351497087</v>
      </c>
    </row>
    <row r="211" spans="3:12" hidden="1" x14ac:dyDescent="0.25">
      <c r="C211" s="79" t="s">
        <v>519</v>
      </c>
      <c r="D211" s="460" t="str">
        <f>'MANO DE OBRA'!$B$3</f>
        <v>Ayudante</v>
      </c>
      <c r="E211" s="461"/>
      <c r="F211" s="97" t="str">
        <f>'MANO DE OBRA'!$C$3</f>
        <v>DIA</v>
      </c>
      <c r="G211" s="76">
        <v>2</v>
      </c>
      <c r="H211" s="101">
        <f>'MANO DE OBRA'!$D$3</f>
        <v>28981.77</v>
      </c>
      <c r="I211" s="102">
        <v>0.75649999999999995</v>
      </c>
      <c r="J211" s="103">
        <f>(H211+(H211*I211))</f>
        <v>50906.479005000001</v>
      </c>
      <c r="K211" s="139">
        <f>+K210</f>
        <v>8.9260434782608691</v>
      </c>
      <c r="L211" s="96">
        <f>G211*(J211/K211)</f>
        <v>11406.280762351498</v>
      </c>
    </row>
    <row r="212" spans="3:12" hidden="1" x14ac:dyDescent="0.25">
      <c r="C212" s="90"/>
      <c r="D212" s="493"/>
      <c r="E212" s="493"/>
      <c r="F212" s="97"/>
      <c r="G212" s="76"/>
      <c r="H212" s="101"/>
      <c r="I212" s="102"/>
      <c r="J212" s="103"/>
      <c r="K212" s="76"/>
      <c r="L212" s="96"/>
    </row>
    <row r="213" spans="3:12" ht="13.5" hidden="1" thickBot="1" x14ac:dyDescent="0.3">
      <c r="C213" s="83"/>
      <c r="D213" s="485" t="s">
        <v>520</v>
      </c>
      <c r="E213" s="485"/>
      <c r="F213" s="485"/>
      <c r="G213" s="485"/>
      <c r="H213" s="485"/>
      <c r="I213" s="485"/>
      <c r="J213" s="485"/>
      <c r="K213" s="485"/>
      <c r="L213" s="98">
        <f>L211+L210</f>
        <v>20848.356997501207</v>
      </c>
    </row>
    <row r="214" spans="3:12" s="116" customFormat="1" ht="13.5" hidden="1" thickBot="1" x14ac:dyDescent="0.3">
      <c r="C214" s="486"/>
      <c r="D214" s="487"/>
      <c r="E214" s="487"/>
      <c r="F214" s="487"/>
      <c r="G214" s="487"/>
      <c r="H214" s="487"/>
      <c r="I214" s="487"/>
      <c r="J214" s="487"/>
      <c r="K214" s="487"/>
      <c r="L214" s="488"/>
    </row>
    <row r="215" spans="3:12" ht="13.5" hidden="1" thickBot="1" x14ac:dyDescent="0.3">
      <c r="C215" s="489" t="s">
        <v>521</v>
      </c>
      <c r="D215" s="490"/>
      <c r="E215" s="490"/>
      <c r="F215" s="490"/>
      <c r="G215" s="490"/>
      <c r="H215" s="490"/>
      <c r="I215" s="490"/>
      <c r="J215" s="491"/>
      <c r="K215" s="145">
        <f>ROUND(L213+L206+L199+L193,0)</f>
        <v>29600</v>
      </c>
      <c r="L215" s="146"/>
    </row>
    <row r="216" spans="3:12" hidden="1" x14ac:dyDescent="0.25"/>
    <row r="217" spans="3:12" hidden="1" x14ac:dyDescent="0.25"/>
    <row r="218" spans="3:12" hidden="1" x14ac:dyDescent="0.25">
      <c r="C218" s="466" t="s">
        <v>495</v>
      </c>
      <c r="D218" s="467"/>
      <c r="E218" s="467"/>
      <c r="F218" s="467"/>
      <c r="G218" s="467"/>
      <c r="H218" s="467"/>
      <c r="I218" s="467"/>
      <c r="J218" s="467"/>
      <c r="K218" s="467"/>
      <c r="L218" s="468"/>
    </row>
    <row r="219" spans="3:12" hidden="1" x14ac:dyDescent="0.25">
      <c r="C219" s="469" t="str">
        <f>+PPTO!A2</f>
        <v>REPOSICION E INSTALACION VALVULAS DE SECTORIZACION EN DIFERENTES SECTORES DEL MUNICIPIO DE PIEDECUESTA - SANTANDER.</v>
      </c>
      <c r="D219" s="470"/>
      <c r="E219" s="470"/>
      <c r="F219" s="470"/>
      <c r="G219" s="470"/>
      <c r="H219" s="470"/>
      <c r="I219" s="470"/>
      <c r="J219" s="470"/>
      <c r="K219" s="470"/>
      <c r="L219" s="471"/>
    </row>
    <row r="220" spans="3:12" hidden="1" x14ac:dyDescent="0.25">
      <c r="C220" s="472" t="s">
        <v>496</v>
      </c>
      <c r="D220" s="141">
        <f>+PPTO!A10</f>
        <v>2</v>
      </c>
      <c r="E220" s="474" t="str">
        <f>+PPTO!B10</f>
        <v>MOVIMIENTO DE  TIERRAS</v>
      </c>
      <c r="F220" s="475"/>
      <c r="G220" s="475"/>
      <c r="H220" s="475"/>
      <c r="I220" s="475"/>
      <c r="J220" s="475"/>
      <c r="K220" s="475"/>
      <c r="L220" s="70" t="s">
        <v>52</v>
      </c>
    </row>
    <row r="221" spans="3:12" ht="13.5" hidden="1" thickBot="1" x14ac:dyDescent="0.3">
      <c r="C221" s="473"/>
      <c r="D221" s="120">
        <f>+PPTO!A13</f>
        <v>2.0299999999999998</v>
      </c>
      <c r="E221" s="476" t="str">
        <f>+PPTO!B13</f>
        <v>Acarreo y retiro de sobrantes</v>
      </c>
      <c r="F221" s="476"/>
      <c r="G221" s="476"/>
      <c r="H221" s="476"/>
      <c r="I221" s="476"/>
      <c r="J221" s="476"/>
      <c r="K221" s="476"/>
      <c r="L221" s="71" t="str">
        <f>+PPTO!C13</f>
        <v>M3</v>
      </c>
    </row>
    <row r="222" spans="3:12" ht="13.5" hidden="1" thickBot="1" x14ac:dyDescent="0.3">
      <c r="C222" s="477"/>
      <c r="D222" s="478"/>
      <c r="E222" s="478"/>
      <c r="F222" s="478"/>
      <c r="G222" s="478"/>
      <c r="H222" s="478"/>
      <c r="I222" s="478"/>
      <c r="J222" s="478"/>
      <c r="K222" s="478"/>
      <c r="L222" s="479"/>
    </row>
    <row r="223" spans="3:12" hidden="1" x14ac:dyDescent="0.25">
      <c r="C223" s="466" t="s">
        <v>497</v>
      </c>
      <c r="D223" s="467"/>
      <c r="E223" s="467"/>
      <c r="F223" s="467"/>
      <c r="G223" s="467"/>
      <c r="H223" s="467"/>
      <c r="I223" s="467"/>
      <c r="J223" s="467"/>
      <c r="K223" s="467"/>
      <c r="L223" s="468"/>
    </row>
    <row r="224" spans="3:12" hidden="1" x14ac:dyDescent="0.25">
      <c r="C224" s="72" t="s">
        <v>66</v>
      </c>
      <c r="D224" s="492" t="s">
        <v>498</v>
      </c>
      <c r="E224" s="492"/>
      <c r="F224" s="492"/>
      <c r="G224" s="492"/>
      <c r="H224" s="492"/>
      <c r="I224" s="73" t="s">
        <v>499</v>
      </c>
      <c r="J224" s="74" t="s">
        <v>500</v>
      </c>
      <c r="K224" s="73" t="s">
        <v>501</v>
      </c>
      <c r="L224" s="70" t="s">
        <v>502</v>
      </c>
    </row>
    <row r="225" spans="3:12" hidden="1" x14ac:dyDescent="0.25">
      <c r="C225" s="110"/>
      <c r="D225" s="460"/>
      <c r="E225" s="499"/>
      <c r="F225" s="499"/>
      <c r="G225" s="499"/>
      <c r="H225" s="461"/>
      <c r="I225" s="76"/>
      <c r="J225" s="76"/>
      <c r="K225" s="77"/>
      <c r="L225" s="78"/>
    </row>
    <row r="226" spans="3:12" hidden="1" x14ac:dyDescent="0.25">
      <c r="C226" s="79"/>
      <c r="D226" s="493" t="s">
        <v>503</v>
      </c>
      <c r="E226" s="493"/>
      <c r="F226" s="493"/>
      <c r="G226" s="493"/>
      <c r="H226" s="493"/>
      <c r="I226" s="76" t="s">
        <v>61</v>
      </c>
      <c r="J226" s="80">
        <v>1</v>
      </c>
      <c r="K226" s="81">
        <f>L249*0.1</f>
        <v>1131.8260890896206</v>
      </c>
      <c r="L226" s="82">
        <f>K226/J226</f>
        <v>1131.8260890896206</v>
      </c>
    </row>
    <row r="227" spans="3:12" hidden="1" x14ac:dyDescent="0.25">
      <c r="C227" s="79"/>
      <c r="D227" s="493"/>
      <c r="E227" s="493"/>
      <c r="F227" s="493"/>
      <c r="G227" s="493"/>
      <c r="H227" s="493"/>
      <c r="I227" s="76"/>
      <c r="J227" s="76"/>
      <c r="K227" s="81"/>
      <c r="L227" s="82"/>
    </row>
    <row r="228" spans="3:12" ht="13.5" hidden="1" thickBot="1" x14ac:dyDescent="0.3">
      <c r="C228" s="83"/>
      <c r="D228" s="485" t="s">
        <v>504</v>
      </c>
      <c r="E228" s="485"/>
      <c r="F228" s="485"/>
      <c r="G228" s="485"/>
      <c r="H228" s="485"/>
      <c r="I228" s="485"/>
      <c r="J228" s="485"/>
      <c r="K228" s="485"/>
      <c r="L228" s="84">
        <f>L226+L225</f>
        <v>1131.8260890896206</v>
      </c>
    </row>
    <row r="229" spans="3:12" ht="13.5" hidden="1" thickBot="1" x14ac:dyDescent="0.3">
      <c r="C229" s="477"/>
      <c r="D229" s="478"/>
      <c r="E229" s="478"/>
      <c r="F229" s="478"/>
      <c r="G229" s="478"/>
      <c r="H229" s="478"/>
      <c r="I229" s="478"/>
      <c r="J229" s="478"/>
      <c r="K229" s="478"/>
      <c r="L229" s="479"/>
    </row>
    <row r="230" spans="3:12" hidden="1" x14ac:dyDescent="0.25">
      <c r="C230" s="466" t="s">
        <v>505</v>
      </c>
      <c r="D230" s="467"/>
      <c r="E230" s="467"/>
      <c r="F230" s="467"/>
      <c r="G230" s="467"/>
      <c r="H230" s="467"/>
      <c r="I230" s="467"/>
      <c r="J230" s="467"/>
      <c r="K230" s="467"/>
      <c r="L230" s="468"/>
    </row>
    <row r="231" spans="3:12" ht="25.5" hidden="1" x14ac:dyDescent="0.25">
      <c r="C231" s="72" t="s">
        <v>66</v>
      </c>
      <c r="D231" s="492" t="s">
        <v>498</v>
      </c>
      <c r="E231" s="492"/>
      <c r="F231" s="492"/>
      <c r="G231" s="492"/>
      <c r="H231" s="73" t="s">
        <v>499</v>
      </c>
      <c r="I231" s="74" t="s">
        <v>506</v>
      </c>
      <c r="J231" s="73" t="s">
        <v>501</v>
      </c>
      <c r="K231" s="85" t="s">
        <v>507</v>
      </c>
      <c r="L231" s="70" t="s">
        <v>502</v>
      </c>
    </row>
    <row r="232" spans="3:12" hidden="1" x14ac:dyDescent="0.25">
      <c r="C232" s="90"/>
      <c r="D232" s="493"/>
      <c r="E232" s="493"/>
      <c r="F232" s="493"/>
      <c r="G232" s="493"/>
      <c r="H232" s="97"/>
      <c r="I232" s="91"/>
      <c r="J232" s="92"/>
      <c r="K232" s="93"/>
      <c r="L232" s="82"/>
    </row>
    <row r="233" spans="3:12" hidden="1" x14ac:dyDescent="0.25">
      <c r="C233" s="90"/>
      <c r="D233" s="500"/>
      <c r="E233" s="500"/>
      <c r="F233" s="500"/>
      <c r="G233" s="500"/>
      <c r="H233" s="97"/>
      <c r="I233" s="91"/>
      <c r="J233" s="92"/>
      <c r="K233" s="93"/>
      <c r="L233" s="82"/>
    </row>
    <row r="234" spans="3:12" hidden="1" x14ac:dyDescent="0.25">
      <c r="C234" s="90"/>
      <c r="D234" s="500"/>
      <c r="E234" s="500"/>
      <c r="F234" s="500"/>
      <c r="G234" s="500"/>
      <c r="H234" s="97"/>
      <c r="I234" s="91"/>
      <c r="J234" s="92"/>
      <c r="K234" s="93"/>
      <c r="L234" s="82"/>
    </row>
    <row r="235" spans="3:12" ht="13.5" hidden="1" thickBot="1" x14ac:dyDescent="0.3">
      <c r="C235" s="94"/>
      <c r="D235" s="485" t="s">
        <v>508</v>
      </c>
      <c r="E235" s="485"/>
      <c r="F235" s="485"/>
      <c r="G235" s="485"/>
      <c r="H235" s="485"/>
      <c r="I235" s="485"/>
      <c r="J235" s="485"/>
      <c r="K235" s="485"/>
      <c r="L235" s="84">
        <f>SUM(L232:L234)</f>
        <v>0</v>
      </c>
    </row>
    <row r="236" spans="3:12" ht="13.5" hidden="1" thickBot="1" x14ac:dyDescent="0.3">
      <c r="C236" s="486"/>
      <c r="D236" s="487"/>
      <c r="E236" s="487"/>
      <c r="F236" s="487"/>
      <c r="G236" s="487"/>
      <c r="H236" s="487"/>
      <c r="I236" s="487"/>
      <c r="J236" s="487"/>
      <c r="K236" s="487"/>
      <c r="L236" s="488"/>
    </row>
    <row r="237" spans="3:12" hidden="1" x14ac:dyDescent="0.25">
      <c r="C237" s="466" t="s">
        <v>509</v>
      </c>
      <c r="D237" s="467"/>
      <c r="E237" s="467"/>
      <c r="F237" s="467"/>
      <c r="G237" s="467"/>
      <c r="H237" s="467"/>
      <c r="I237" s="467"/>
      <c r="J237" s="467"/>
      <c r="K237" s="467"/>
      <c r="L237" s="468"/>
    </row>
    <row r="238" spans="3:12" hidden="1" x14ac:dyDescent="0.25">
      <c r="C238" s="72" t="s">
        <v>66</v>
      </c>
      <c r="D238" s="492" t="s">
        <v>498</v>
      </c>
      <c r="E238" s="492"/>
      <c r="F238" s="492"/>
      <c r="G238" s="492"/>
      <c r="H238" s="73" t="s">
        <v>506</v>
      </c>
      <c r="I238" s="73" t="s">
        <v>499</v>
      </c>
      <c r="J238" s="74" t="s">
        <v>510</v>
      </c>
      <c r="K238" s="85" t="s">
        <v>511</v>
      </c>
      <c r="L238" s="70" t="s">
        <v>502</v>
      </c>
    </row>
    <row r="239" spans="3:12" hidden="1" x14ac:dyDescent="0.25">
      <c r="C239" s="90" t="str">
        <f>+TRANSPORTE!A2</f>
        <v>TR-001</v>
      </c>
      <c r="D239" s="493" t="str">
        <f>+TRANSPORTE!B2</f>
        <v>Volqueta de 8 m3 (cargue, tansporte y derecho a botadero)</v>
      </c>
      <c r="E239" s="493"/>
      <c r="F239" s="493"/>
      <c r="G239" s="493"/>
      <c r="H239" s="76">
        <v>1.3</v>
      </c>
      <c r="I239" s="97" t="str">
        <f>+TRANSPORTE!C2</f>
        <v>m3/Km</v>
      </c>
      <c r="J239" s="97">
        <v>23.5</v>
      </c>
      <c r="K239" s="95">
        <f>+TRANSPORTE!D2</f>
        <v>1000</v>
      </c>
      <c r="L239" s="96">
        <f>+K239*J239*H239</f>
        <v>30550</v>
      </c>
    </row>
    <row r="240" spans="3:12" hidden="1" x14ac:dyDescent="0.25">
      <c r="C240" s="90"/>
      <c r="D240" s="495"/>
      <c r="E240" s="495"/>
      <c r="F240" s="495"/>
      <c r="G240" s="495"/>
      <c r="H240" s="76"/>
      <c r="I240" s="97"/>
      <c r="J240" s="97"/>
      <c r="K240" s="95"/>
      <c r="L240" s="96"/>
    </row>
    <row r="241" spans="3:12" hidden="1" x14ac:dyDescent="0.25">
      <c r="C241" s="90"/>
      <c r="D241" s="495"/>
      <c r="E241" s="495"/>
      <c r="F241" s="495"/>
      <c r="G241" s="495"/>
      <c r="H241" s="76"/>
      <c r="I241" s="97"/>
      <c r="J241" s="97"/>
      <c r="K241" s="95"/>
      <c r="L241" s="96"/>
    </row>
    <row r="242" spans="3:12" ht="13.5" hidden="1" thickBot="1" x14ac:dyDescent="0.3">
      <c r="C242" s="83"/>
      <c r="D242" s="485" t="s">
        <v>512</v>
      </c>
      <c r="E242" s="485"/>
      <c r="F242" s="485"/>
      <c r="G242" s="485"/>
      <c r="H242" s="485"/>
      <c r="I242" s="485"/>
      <c r="J242" s="485"/>
      <c r="K242" s="485"/>
      <c r="L242" s="98">
        <f>L239</f>
        <v>30550</v>
      </c>
    </row>
    <row r="243" spans="3:12" ht="13.5" hidden="1" thickBot="1" x14ac:dyDescent="0.3">
      <c r="C243" s="477"/>
      <c r="D243" s="478"/>
      <c r="E243" s="478"/>
      <c r="F243" s="478"/>
      <c r="G243" s="478"/>
      <c r="H243" s="478"/>
      <c r="I243" s="478"/>
      <c r="J243" s="478"/>
      <c r="K243" s="478"/>
      <c r="L243" s="479"/>
    </row>
    <row r="244" spans="3:12" hidden="1" x14ac:dyDescent="0.25">
      <c r="C244" s="466" t="s">
        <v>513</v>
      </c>
      <c r="D244" s="467"/>
      <c r="E244" s="467"/>
      <c r="F244" s="467"/>
      <c r="G244" s="467"/>
      <c r="H244" s="467"/>
      <c r="I244" s="467"/>
      <c r="J244" s="467"/>
      <c r="K244" s="467"/>
      <c r="L244" s="468"/>
    </row>
    <row r="245" spans="3:12" hidden="1" x14ac:dyDescent="0.25">
      <c r="C245" s="72" t="s">
        <v>66</v>
      </c>
      <c r="D245" s="492" t="s">
        <v>498</v>
      </c>
      <c r="E245" s="492"/>
      <c r="F245" s="85" t="s">
        <v>499</v>
      </c>
      <c r="G245" s="85" t="s">
        <v>506</v>
      </c>
      <c r="H245" s="73" t="s">
        <v>514</v>
      </c>
      <c r="I245" s="99" t="s">
        <v>515</v>
      </c>
      <c r="J245" s="85" t="s">
        <v>516</v>
      </c>
      <c r="K245" s="99" t="s">
        <v>517</v>
      </c>
      <c r="L245" s="100" t="s">
        <v>502</v>
      </c>
    </row>
    <row r="246" spans="3:12" hidden="1" x14ac:dyDescent="0.25">
      <c r="C246" s="79" t="s">
        <v>518</v>
      </c>
      <c r="D246" s="460" t="str">
        <f>'MANO DE OBRA'!$B$2</f>
        <v>Oficial</v>
      </c>
      <c r="E246" s="461"/>
      <c r="F246" s="97" t="str">
        <f>'MANO DE OBRA'!$C$2</f>
        <v>DIA</v>
      </c>
      <c r="G246" s="76">
        <v>1</v>
      </c>
      <c r="H246" s="101">
        <f>'MANO DE OBRA'!$D$2</f>
        <v>47982</v>
      </c>
      <c r="I246" s="102">
        <v>0.75649999999999995</v>
      </c>
      <c r="J246" s="103">
        <f>(H246+(H246*I246))</f>
        <v>84280.383000000002</v>
      </c>
      <c r="K246" s="139">
        <v>16.44186706808317</v>
      </c>
      <c r="L246" s="96">
        <f>G246*(J246/K246)</f>
        <v>5125.9618297002571</v>
      </c>
    </row>
    <row r="247" spans="3:12" hidden="1" x14ac:dyDescent="0.25">
      <c r="C247" s="79" t="s">
        <v>519</v>
      </c>
      <c r="D247" s="460" t="str">
        <f>'MANO DE OBRA'!$B$3</f>
        <v>Ayudante</v>
      </c>
      <c r="E247" s="461"/>
      <c r="F247" s="97" t="str">
        <f>'MANO DE OBRA'!$C$3</f>
        <v>DIA</v>
      </c>
      <c r="G247" s="76">
        <v>2</v>
      </c>
      <c r="H247" s="101">
        <f>'MANO DE OBRA'!$D$3</f>
        <v>28981.77</v>
      </c>
      <c r="I247" s="102">
        <v>0.75649999999999995</v>
      </c>
      <c r="J247" s="103">
        <f>(H247+(H247*I247))</f>
        <v>50906.479005000001</v>
      </c>
      <c r="K247" s="139">
        <f>+K246</f>
        <v>16.44186706808317</v>
      </c>
      <c r="L247" s="96">
        <f>G247*(J247/K247)</f>
        <v>6192.2990611959494</v>
      </c>
    </row>
    <row r="248" spans="3:12" hidden="1" x14ac:dyDescent="0.25">
      <c r="C248" s="90"/>
      <c r="D248" s="493"/>
      <c r="E248" s="493"/>
      <c r="F248" s="97"/>
      <c r="G248" s="76"/>
      <c r="H248" s="101"/>
      <c r="I248" s="102"/>
      <c r="J248" s="103"/>
      <c r="K248" s="76"/>
      <c r="L248" s="96"/>
    </row>
    <row r="249" spans="3:12" ht="13.5" hidden="1" thickBot="1" x14ac:dyDescent="0.3">
      <c r="C249" s="83"/>
      <c r="D249" s="485" t="s">
        <v>520</v>
      </c>
      <c r="E249" s="485"/>
      <c r="F249" s="485"/>
      <c r="G249" s="485"/>
      <c r="H249" s="485"/>
      <c r="I249" s="485"/>
      <c r="J249" s="485"/>
      <c r="K249" s="485"/>
      <c r="L249" s="98">
        <f>L247+L246</f>
        <v>11318.260890896207</v>
      </c>
    </row>
    <row r="250" spans="3:12" ht="13.5" hidden="1" thickBot="1" x14ac:dyDescent="0.3">
      <c r="C250" s="486"/>
      <c r="D250" s="487"/>
      <c r="E250" s="487"/>
      <c r="F250" s="487"/>
      <c r="G250" s="487"/>
      <c r="H250" s="487"/>
      <c r="I250" s="487"/>
      <c r="J250" s="487"/>
      <c r="K250" s="487"/>
      <c r="L250" s="488"/>
    </row>
    <row r="251" spans="3:12" ht="13.5" hidden="1" thickBot="1" x14ac:dyDescent="0.3">
      <c r="C251" s="489" t="s">
        <v>521</v>
      </c>
      <c r="D251" s="490"/>
      <c r="E251" s="490"/>
      <c r="F251" s="490"/>
      <c r="G251" s="490"/>
      <c r="H251" s="490"/>
      <c r="I251" s="490"/>
      <c r="J251" s="491"/>
      <c r="K251" s="145">
        <f>ROUND(L249+L242+L235+L228,0)</f>
        <v>43000</v>
      </c>
      <c r="L251" s="146"/>
    </row>
    <row r="252" spans="3:12" hidden="1" x14ac:dyDescent="0.25"/>
    <row r="253" spans="3:12" hidden="1" x14ac:dyDescent="0.25"/>
    <row r="254" spans="3:12" s="116" customFormat="1" hidden="1" x14ac:dyDescent="0.25">
      <c r="C254" s="466" t="s">
        <v>495</v>
      </c>
      <c r="D254" s="467"/>
      <c r="E254" s="467"/>
      <c r="F254" s="467"/>
      <c r="G254" s="467"/>
      <c r="H254" s="467"/>
      <c r="I254" s="467"/>
      <c r="J254" s="467"/>
      <c r="K254" s="467"/>
      <c r="L254" s="468"/>
    </row>
    <row r="255" spans="3:12" s="116" customFormat="1" hidden="1" x14ac:dyDescent="0.25">
      <c r="C255" s="469" t="str">
        <f>+PPTO!A2</f>
        <v>REPOSICION E INSTALACION VALVULAS DE SECTORIZACION EN DIFERENTES SECTORES DEL MUNICIPIO DE PIEDECUESTA - SANTANDER.</v>
      </c>
      <c r="D255" s="470"/>
      <c r="E255" s="470"/>
      <c r="F255" s="470"/>
      <c r="G255" s="470"/>
      <c r="H255" s="470"/>
      <c r="I255" s="470"/>
      <c r="J255" s="470"/>
      <c r="K255" s="470"/>
      <c r="L255" s="471"/>
    </row>
    <row r="256" spans="3:12" hidden="1" x14ac:dyDescent="0.25">
      <c r="C256" s="472" t="s">
        <v>496</v>
      </c>
      <c r="D256" s="141">
        <f>+PPTO!A15</f>
        <v>3</v>
      </c>
      <c r="E256" s="474" t="str">
        <f>+PPTO!B15</f>
        <v>CONCRETOS Y ESTRUCTURAS</v>
      </c>
      <c r="F256" s="475"/>
      <c r="G256" s="475"/>
      <c r="H256" s="475"/>
      <c r="I256" s="475"/>
      <c r="J256" s="475"/>
      <c r="K256" s="475"/>
      <c r="L256" s="70" t="s">
        <v>52</v>
      </c>
    </row>
    <row r="257" spans="3:12" ht="30" hidden="1" customHeight="1" thickBot="1" x14ac:dyDescent="0.3">
      <c r="C257" s="473"/>
      <c r="D257" s="120">
        <f>+PPTO!A16</f>
        <v>3.01</v>
      </c>
      <c r="E257" s="476" t="str">
        <f>+PPTO!B16</f>
        <v>Caja para válvula placa en concreto incluye tapa en HD</v>
      </c>
      <c r="F257" s="476"/>
      <c r="G257" s="476"/>
      <c r="H257" s="476"/>
      <c r="I257" s="476"/>
      <c r="J257" s="476"/>
      <c r="K257" s="476"/>
      <c r="L257" s="71" t="str">
        <f>+PPTO!C16</f>
        <v>UND</v>
      </c>
    </row>
    <row r="258" spans="3:12" ht="13.5" hidden="1" thickBot="1" x14ac:dyDescent="0.3">
      <c r="C258" s="477"/>
      <c r="D258" s="478"/>
      <c r="E258" s="478"/>
      <c r="F258" s="478"/>
      <c r="G258" s="478"/>
      <c r="H258" s="478"/>
      <c r="I258" s="478"/>
      <c r="J258" s="478"/>
      <c r="K258" s="478"/>
      <c r="L258" s="479"/>
    </row>
    <row r="259" spans="3:12" hidden="1" x14ac:dyDescent="0.25">
      <c r="C259" s="466" t="s">
        <v>497</v>
      </c>
      <c r="D259" s="467"/>
      <c r="E259" s="467"/>
      <c r="F259" s="467"/>
      <c r="G259" s="467"/>
      <c r="H259" s="467"/>
      <c r="I259" s="467"/>
      <c r="J259" s="467"/>
      <c r="K259" s="467"/>
      <c r="L259" s="468"/>
    </row>
    <row r="260" spans="3:12" hidden="1" x14ac:dyDescent="0.25">
      <c r="C260" s="72" t="s">
        <v>66</v>
      </c>
      <c r="D260" s="492" t="s">
        <v>498</v>
      </c>
      <c r="E260" s="492"/>
      <c r="F260" s="492"/>
      <c r="G260" s="492"/>
      <c r="H260" s="492"/>
      <c r="I260" s="73" t="s">
        <v>499</v>
      </c>
      <c r="J260" s="74" t="s">
        <v>500</v>
      </c>
      <c r="K260" s="73" t="s">
        <v>501</v>
      </c>
      <c r="L260" s="70" t="s">
        <v>502</v>
      </c>
    </row>
    <row r="261" spans="3:12" hidden="1" x14ac:dyDescent="0.25">
      <c r="C261" s="75"/>
      <c r="D261" s="460"/>
      <c r="E261" s="499"/>
      <c r="F261" s="499"/>
      <c r="G261" s="499"/>
      <c r="H261" s="461"/>
      <c r="I261" s="76"/>
      <c r="J261" s="76"/>
      <c r="K261" s="77"/>
      <c r="L261" s="78"/>
    </row>
    <row r="262" spans="3:12" hidden="1" x14ac:dyDescent="0.25">
      <c r="C262" s="79"/>
      <c r="D262" s="493" t="s">
        <v>503</v>
      </c>
      <c r="E262" s="493"/>
      <c r="F262" s="493"/>
      <c r="G262" s="493"/>
      <c r="H262" s="493"/>
      <c r="I262" s="76" t="s">
        <v>61</v>
      </c>
      <c r="J262" s="80">
        <v>1</v>
      </c>
      <c r="K262" s="81">
        <f>L285*0.1</f>
        <v>13518.6862005</v>
      </c>
      <c r="L262" s="82">
        <f>K262/J262</f>
        <v>13518.6862005</v>
      </c>
    </row>
    <row r="263" spans="3:12" hidden="1" x14ac:dyDescent="0.25">
      <c r="C263" s="79"/>
      <c r="D263" s="493"/>
      <c r="E263" s="493"/>
      <c r="F263" s="493"/>
      <c r="G263" s="493"/>
      <c r="H263" s="493"/>
      <c r="I263" s="76"/>
      <c r="J263" s="76"/>
      <c r="K263" s="81"/>
      <c r="L263" s="82"/>
    </row>
    <row r="264" spans="3:12" s="116" customFormat="1" ht="13.5" hidden="1" thickBot="1" x14ac:dyDescent="0.3">
      <c r="C264" s="83"/>
      <c r="D264" s="485" t="s">
        <v>504</v>
      </c>
      <c r="E264" s="485"/>
      <c r="F264" s="485"/>
      <c r="G264" s="485"/>
      <c r="H264" s="485"/>
      <c r="I264" s="485"/>
      <c r="J264" s="485"/>
      <c r="K264" s="485"/>
      <c r="L264" s="84">
        <f>L262+L261</f>
        <v>13518.6862005</v>
      </c>
    </row>
    <row r="265" spans="3:12" s="116" customFormat="1" ht="13.5" hidden="1" thickBot="1" x14ac:dyDescent="0.3">
      <c r="C265" s="477"/>
      <c r="D265" s="478"/>
      <c r="E265" s="478"/>
      <c r="F265" s="478"/>
      <c r="G265" s="478"/>
      <c r="H265" s="478"/>
      <c r="I265" s="478"/>
      <c r="J265" s="478"/>
      <c r="K265" s="478"/>
      <c r="L265" s="479"/>
    </row>
    <row r="266" spans="3:12" hidden="1" x14ac:dyDescent="0.25">
      <c r="C266" s="466" t="s">
        <v>505</v>
      </c>
      <c r="D266" s="467"/>
      <c r="E266" s="467"/>
      <c r="F266" s="467"/>
      <c r="G266" s="467"/>
      <c r="H266" s="467"/>
      <c r="I266" s="467"/>
      <c r="J266" s="467"/>
      <c r="K266" s="467"/>
      <c r="L266" s="468"/>
    </row>
    <row r="267" spans="3:12" ht="25.5" hidden="1" x14ac:dyDescent="0.25">
      <c r="C267" s="72" t="s">
        <v>66</v>
      </c>
      <c r="D267" s="492" t="s">
        <v>498</v>
      </c>
      <c r="E267" s="492"/>
      <c r="F267" s="492"/>
      <c r="G267" s="492"/>
      <c r="H267" s="73" t="s">
        <v>499</v>
      </c>
      <c r="I267" s="74" t="s">
        <v>506</v>
      </c>
      <c r="J267" s="73" t="s">
        <v>501</v>
      </c>
      <c r="K267" s="85" t="s">
        <v>507</v>
      </c>
      <c r="L267" s="70" t="s">
        <v>502</v>
      </c>
    </row>
    <row r="268" spans="3:12" ht="16.5" hidden="1" x14ac:dyDescent="0.3">
      <c r="C268" s="143" t="str">
        <f>+MATERIALES!A287</f>
        <v>MAT-257</v>
      </c>
      <c r="D268" s="498" t="str">
        <f>+MATERIALES!B287</f>
        <v>Caja para válvula placa en concreto incluye tapa en HD</v>
      </c>
      <c r="E268" s="496"/>
      <c r="F268" s="496"/>
      <c r="G268" s="497"/>
      <c r="H268" s="73" t="str">
        <f>+MATERIALES!C287</f>
        <v>und</v>
      </c>
      <c r="I268" s="63">
        <v>1</v>
      </c>
      <c r="J268" s="86">
        <f>+MATERIALES!D287</f>
        <v>182694</v>
      </c>
      <c r="K268" s="87">
        <v>0</v>
      </c>
      <c r="L268" s="88">
        <f>I268*J268*(1+K268)</f>
        <v>182694</v>
      </c>
    </row>
    <row r="269" spans="3:12" ht="16.5" hidden="1" x14ac:dyDescent="0.3">
      <c r="C269" s="143"/>
      <c r="D269" s="460"/>
      <c r="E269" s="499"/>
      <c r="F269" s="499"/>
      <c r="G269" s="461"/>
      <c r="H269" s="73"/>
      <c r="I269" s="63"/>
      <c r="J269" s="86"/>
      <c r="K269" s="87"/>
      <c r="L269" s="88">
        <f>I269*J269*(1+K269)</f>
        <v>0</v>
      </c>
    </row>
    <row r="270" spans="3:12" hidden="1" x14ac:dyDescent="0.25">
      <c r="C270" s="90"/>
      <c r="D270" s="500"/>
      <c r="E270" s="500"/>
      <c r="F270" s="500"/>
      <c r="G270" s="500"/>
      <c r="H270" s="97"/>
      <c r="I270" s="91"/>
      <c r="J270" s="92"/>
      <c r="K270" s="93"/>
      <c r="L270" s="82"/>
    </row>
    <row r="271" spans="3:12" ht="13.5" hidden="1" thickBot="1" x14ac:dyDescent="0.3">
      <c r="C271" s="94"/>
      <c r="D271" s="485" t="s">
        <v>508</v>
      </c>
      <c r="E271" s="485"/>
      <c r="F271" s="485"/>
      <c r="G271" s="485"/>
      <c r="H271" s="485"/>
      <c r="I271" s="485"/>
      <c r="J271" s="485"/>
      <c r="K271" s="485"/>
      <c r="L271" s="84">
        <f>SUM(L268:L270)</f>
        <v>182694</v>
      </c>
    </row>
    <row r="272" spans="3:12" ht="13.5" hidden="1" thickBot="1" x14ac:dyDescent="0.3">
      <c r="C272" s="486"/>
      <c r="D272" s="487"/>
      <c r="E272" s="487"/>
      <c r="F272" s="487"/>
      <c r="G272" s="487"/>
      <c r="H272" s="487"/>
      <c r="I272" s="487"/>
      <c r="J272" s="487"/>
      <c r="K272" s="487"/>
      <c r="L272" s="488"/>
    </row>
    <row r="273" spans="3:12" hidden="1" x14ac:dyDescent="0.25">
      <c r="C273" s="466" t="s">
        <v>509</v>
      </c>
      <c r="D273" s="467"/>
      <c r="E273" s="467"/>
      <c r="F273" s="467"/>
      <c r="G273" s="467"/>
      <c r="H273" s="467"/>
      <c r="I273" s="467"/>
      <c r="J273" s="467"/>
      <c r="K273" s="467"/>
      <c r="L273" s="468"/>
    </row>
    <row r="274" spans="3:12" hidden="1" x14ac:dyDescent="0.25">
      <c r="C274" s="72" t="s">
        <v>66</v>
      </c>
      <c r="D274" s="492" t="s">
        <v>498</v>
      </c>
      <c r="E274" s="492"/>
      <c r="F274" s="492"/>
      <c r="G274" s="492"/>
      <c r="H274" s="73" t="s">
        <v>506</v>
      </c>
      <c r="I274" s="73" t="s">
        <v>499</v>
      </c>
      <c r="J274" s="74" t="s">
        <v>510</v>
      </c>
      <c r="K274" s="85" t="s">
        <v>511</v>
      </c>
      <c r="L274" s="70" t="s">
        <v>502</v>
      </c>
    </row>
    <row r="275" spans="3:12" hidden="1" x14ac:dyDescent="0.25">
      <c r="C275" s="90"/>
      <c r="D275" s="493"/>
      <c r="E275" s="493"/>
      <c r="F275" s="493"/>
      <c r="G275" s="493"/>
      <c r="H275" s="76"/>
      <c r="I275" s="97"/>
      <c r="J275" s="97"/>
      <c r="K275" s="95"/>
      <c r="L275" s="96"/>
    </row>
    <row r="276" spans="3:12" hidden="1" x14ac:dyDescent="0.25">
      <c r="C276" s="90"/>
      <c r="D276" s="495"/>
      <c r="E276" s="495"/>
      <c r="F276" s="495"/>
      <c r="G276" s="495"/>
      <c r="H276" s="76"/>
      <c r="I276" s="97"/>
      <c r="J276" s="97"/>
      <c r="K276" s="95"/>
      <c r="L276" s="96"/>
    </row>
    <row r="277" spans="3:12" hidden="1" x14ac:dyDescent="0.25">
      <c r="C277" s="90"/>
      <c r="D277" s="495"/>
      <c r="E277" s="495"/>
      <c r="F277" s="495"/>
      <c r="G277" s="495"/>
      <c r="H277" s="76"/>
      <c r="I277" s="97"/>
      <c r="J277" s="97"/>
      <c r="K277" s="95"/>
      <c r="L277" s="96"/>
    </row>
    <row r="278" spans="3:12" s="116" customFormat="1" ht="13.5" hidden="1" thickBot="1" x14ac:dyDescent="0.3">
      <c r="C278" s="83"/>
      <c r="D278" s="485" t="s">
        <v>512</v>
      </c>
      <c r="E278" s="485"/>
      <c r="F278" s="485"/>
      <c r="G278" s="485"/>
      <c r="H278" s="485"/>
      <c r="I278" s="485"/>
      <c r="J278" s="485"/>
      <c r="K278" s="485"/>
      <c r="L278" s="98">
        <f>L275</f>
        <v>0</v>
      </c>
    </row>
    <row r="279" spans="3:12" s="116" customFormat="1" ht="13.5" hidden="1" thickBot="1" x14ac:dyDescent="0.3">
      <c r="C279" s="477"/>
      <c r="D279" s="478"/>
      <c r="E279" s="478"/>
      <c r="F279" s="478"/>
      <c r="G279" s="478"/>
      <c r="H279" s="478"/>
      <c r="I279" s="478"/>
      <c r="J279" s="478"/>
      <c r="K279" s="478"/>
      <c r="L279" s="479"/>
    </row>
    <row r="280" spans="3:12" hidden="1" x14ac:dyDescent="0.25">
      <c r="C280" s="466" t="s">
        <v>513</v>
      </c>
      <c r="D280" s="467"/>
      <c r="E280" s="467"/>
      <c r="F280" s="467"/>
      <c r="G280" s="467"/>
      <c r="H280" s="467"/>
      <c r="I280" s="467"/>
      <c r="J280" s="467"/>
      <c r="K280" s="467"/>
      <c r="L280" s="468"/>
    </row>
    <row r="281" spans="3:12" hidden="1" x14ac:dyDescent="0.25">
      <c r="C281" s="72" t="s">
        <v>66</v>
      </c>
      <c r="D281" s="492" t="s">
        <v>498</v>
      </c>
      <c r="E281" s="492"/>
      <c r="F281" s="85" t="s">
        <v>499</v>
      </c>
      <c r="G281" s="85" t="s">
        <v>506</v>
      </c>
      <c r="H281" s="73" t="s">
        <v>514</v>
      </c>
      <c r="I281" s="99" t="s">
        <v>515</v>
      </c>
      <c r="J281" s="85" t="s">
        <v>516</v>
      </c>
      <c r="K281" s="99" t="s">
        <v>517</v>
      </c>
      <c r="L281" s="100" t="s">
        <v>502</v>
      </c>
    </row>
    <row r="282" spans="3:12" hidden="1" x14ac:dyDescent="0.25">
      <c r="C282" s="79" t="s">
        <v>518</v>
      </c>
      <c r="D282" s="460" t="str">
        <f>'MANO DE OBRA'!$B$2</f>
        <v>Oficial</v>
      </c>
      <c r="E282" s="461"/>
      <c r="F282" s="97" t="str">
        <f>'MANO DE OBRA'!$C$2</f>
        <v>DIA</v>
      </c>
      <c r="G282" s="76">
        <v>1</v>
      </c>
      <c r="H282" s="101">
        <f>'MANO DE OBRA'!$D$2</f>
        <v>47982</v>
      </c>
      <c r="I282" s="102">
        <v>0.75649999999999995</v>
      </c>
      <c r="J282" s="103">
        <f>(H282+(H282*I282))</f>
        <v>84280.383000000002</v>
      </c>
      <c r="K282" s="76">
        <v>1</v>
      </c>
      <c r="L282" s="96">
        <f>G282*(J282/K282)</f>
        <v>84280.383000000002</v>
      </c>
    </row>
    <row r="283" spans="3:12" hidden="1" x14ac:dyDescent="0.25">
      <c r="C283" s="79" t="s">
        <v>519</v>
      </c>
      <c r="D283" s="460" t="str">
        <f>'MANO DE OBRA'!$B$3</f>
        <v>Ayudante</v>
      </c>
      <c r="E283" s="461"/>
      <c r="F283" s="97" t="str">
        <f>'MANO DE OBRA'!$C$3</f>
        <v>DIA</v>
      </c>
      <c r="G283" s="76">
        <v>1</v>
      </c>
      <c r="H283" s="101">
        <f>'MANO DE OBRA'!$D$3</f>
        <v>28981.77</v>
      </c>
      <c r="I283" s="102">
        <v>0.75649999999999995</v>
      </c>
      <c r="J283" s="103">
        <f>(H283+(H283*I283))</f>
        <v>50906.479005000001</v>
      </c>
      <c r="K283" s="76">
        <v>1</v>
      </c>
      <c r="L283" s="96">
        <f>G283*(J283/K283)</f>
        <v>50906.479005000001</v>
      </c>
    </row>
    <row r="284" spans="3:12" hidden="1" x14ac:dyDescent="0.25">
      <c r="C284" s="90"/>
      <c r="D284" s="493"/>
      <c r="E284" s="493"/>
      <c r="F284" s="97"/>
      <c r="G284" s="76"/>
      <c r="H284" s="101"/>
      <c r="I284" s="102"/>
      <c r="J284" s="103"/>
      <c r="K284" s="76"/>
      <c r="L284" s="96"/>
    </row>
    <row r="285" spans="3:12" s="116" customFormat="1" ht="13.5" hidden="1" thickBot="1" x14ac:dyDescent="0.3">
      <c r="C285" s="83"/>
      <c r="D285" s="485" t="s">
        <v>520</v>
      </c>
      <c r="E285" s="485"/>
      <c r="F285" s="485"/>
      <c r="G285" s="485"/>
      <c r="H285" s="485"/>
      <c r="I285" s="485"/>
      <c r="J285" s="485"/>
      <c r="K285" s="485"/>
      <c r="L285" s="98">
        <f>L283+L282</f>
        <v>135186.862005</v>
      </c>
    </row>
    <row r="286" spans="3:12" ht="13.5" hidden="1" thickBot="1" x14ac:dyDescent="0.3">
      <c r="C286" s="486"/>
      <c r="D286" s="487"/>
      <c r="E286" s="487"/>
      <c r="F286" s="487"/>
      <c r="G286" s="487"/>
      <c r="H286" s="487"/>
      <c r="I286" s="487"/>
      <c r="J286" s="487"/>
      <c r="K286" s="487"/>
      <c r="L286" s="488"/>
    </row>
    <row r="287" spans="3:12" ht="13.5" hidden="1" thickBot="1" x14ac:dyDescent="0.3">
      <c r="C287" s="489" t="s">
        <v>521</v>
      </c>
      <c r="D287" s="490"/>
      <c r="E287" s="490"/>
      <c r="F287" s="490"/>
      <c r="G287" s="490"/>
      <c r="H287" s="490"/>
      <c r="I287" s="490"/>
      <c r="J287" s="491"/>
      <c r="K287" s="145">
        <f>ROUND(L285+L278+L271+L264,0)</f>
        <v>331400</v>
      </c>
      <c r="L287" s="146"/>
    </row>
    <row r="288" spans="3:12" hidden="1" x14ac:dyDescent="0.25"/>
    <row r="289" spans="3:12" hidden="1" x14ac:dyDescent="0.25"/>
    <row r="290" spans="3:12" s="116" customFormat="1" hidden="1" x14ac:dyDescent="0.25">
      <c r="C290" s="466" t="s">
        <v>495</v>
      </c>
      <c r="D290" s="467"/>
      <c r="E290" s="467"/>
      <c r="F290" s="467"/>
      <c r="G290" s="467"/>
      <c r="H290" s="467"/>
      <c r="I290" s="467"/>
      <c r="J290" s="467"/>
      <c r="K290" s="467"/>
      <c r="L290" s="468"/>
    </row>
    <row r="291" spans="3:12" s="116" customFormat="1" hidden="1" x14ac:dyDescent="0.25">
      <c r="C291" s="469" t="str">
        <f>+PPTO!A2</f>
        <v>REPOSICION E INSTALACION VALVULAS DE SECTORIZACION EN DIFERENTES SECTORES DEL MUNICIPIO DE PIEDECUESTA - SANTANDER.</v>
      </c>
      <c r="D291" s="470"/>
      <c r="E291" s="470"/>
      <c r="F291" s="470"/>
      <c r="G291" s="470"/>
      <c r="H291" s="470"/>
      <c r="I291" s="470"/>
      <c r="J291" s="470"/>
      <c r="K291" s="470"/>
      <c r="L291" s="471"/>
    </row>
    <row r="292" spans="3:12" hidden="1" x14ac:dyDescent="0.25">
      <c r="C292" s="472" t="s">
        <v>496</v>
      </c>
      <c r="D292" s="141">
        <f>+PPTO!A15</f>
        <v>3</v>
      </c>
      <c r="E292" s="474" t="str">
        <f>+PPTO!B15</f>
        <v>CONCRETOS Y ESTRUCTURAS</v>
      </c>
      <c r="F292" s="475"/>
      <c r="G292" s="475"/>
      <c r="H292" s="475"/>
      <c r="I292" s="475"/>
      <c r="J292" s="475"/>
      <c r="K292" s="475"/>
      <c r="L292" s="70" t="s">
        <v>52</v>
      </c>
    </row>
    <row r="293" spans="3:12" ht="30" hidden="1" customHeight="1" thickBot="1" x14ac:dyDescent="0.3">
      <c r="C293" s="473"/>
      <c r="D293" s="120">
        <f>+PPTO!A17</f>
        <v>3.02</v>
      </c>
      <c r="E293" s="476" t="str">
        <f>+PPTO!B17</f>
        <v>rehabilitación caja para válvula placa en concreto incluye tapa en HD</v>
      </c>
      <c r="F293" s="476"/>
      <c r="G293" s="476"/>
      <c r="H293" s="476"/>
      <c r="I293" s="476"/>
      <c r="J293" s="476"/>
      <c r="K293" s="476"/>
      <c r="L293" s="71" t="str">
        <f>+PPTO!C17</f>
        <v>UND</v>
      </c>
    </row>
    <row r="294" spans="3:12" ht="13.5" hidden="1" thickBot="1" x14ac:dyDescent="0.3">
      <c r="C294" s="477"/>
      <c r="D294" s="478"/>
      <c r="E294" s="478"/>
      <c r="F294" s="478"/>
      <c r="G294" s="478"/>
      <c r="H294" s="478"/>
      <c r="I294" s="478"/>
      <c r="J294" s="478"/>
      <c r="K294" s="478"/>
      <c r="L294" s="479"/>
    </row>
    <row r="295" spans="3:12" hidden="1" x14ac:dyDescent="0.25">
      <c r="C295" s="466" t="s">
        <v>497</v>
      </c>
      <c r="D295" s="467"/>
      <c r="E295" s="467"/>
      <c r="F295" s="467"/>
      <c r="G295" s="467"/>
      <c r="H295" s="467"/>
      <c r="I295" s="467"/>
      <c r="J295" s="467"/>
      <c r="K295" s="467"/>
      <c r="L295" s="468"/>
    </row>
    <row r="296" spans="3:12" hidden="1" x14ac:dyDescent="0.25">
      <c r="C296" s="72" t="s">
        <v>66</v>
      </c>
      <c r="D296" s="492" t="s">
        <v>498</v>
      </c>
      <c r="E296" s="492"/>
      <c r="F296" s="492"/>
      <c r="G296" s="492"/>
      <c r="H296" s="492"/>
      <c r="I296" s="73" t="s">
        <v>499</v>
      </c>
      <c r="J296" s="74" t="s">
        <v>500</v>
      </c>
      <c r="K296" s="73" t="s">
        <v>501</v>
      </c>
      <c r="L296" s="70" t="s">
        <v>502</v>
      </c>
    </row>
    <row r="297" spans="3:12" hidden="1" x14ac:dyDescent="0.25">
      <c r="C297" s="79"/>
      <c r="D297" s="493" t="s">
        <v>503</v>
      </c>
      <c r="E297" s="493"/>
      <c r="F297" s="493"/>
      <c r="G297" s="493"/>
      <c r="H297" s="493"/>
      <c r="I297" s="76" t="s">
        <v>61</v>
      </c>
      <c r="J297" s="80">
        <v>1</v>
      </c>
      <c r="K297" s="81">
        <f>L322*0.1</f>
        <v>509.06479005000006</v>
      </c>
      <c r="L297" s="82">
        <f>K297/J297</f>
        <v>509.06479005000006</v>
      </c>
    </row>
    <row r="298" spans="3:12" s="116" customFormat="1" ht="13.5" hidden="1" thickBot="1" x14ac:dyDescent="0.3">
      <c r="C298" s="83"/>
      <c r="D298" s="485" t="s">
        <v>504</v>
      </c>
      <c r="E298" s="485"/>
      <c r="F298" s="485"/>
      <c r="G298" s="485"/>
      <c r="H298" s="485"/>
      <c r="I298" s="485"/>
      <c r="J298" s="485"/>
      <c r="K298" s="485"/>
      <c r="L298" s="84">
        <f>L297</f>
        <v>509.06479005000006</v>
      </c>
    </row>
    <row r="299" spans="3:12" s="116" customFormat="1" ht="13.5" hidden="1" thickBot="1" x14ac:dyDescent="0.3">
      <c r="C299" s="477"/>
      <c r="D299" s="478"/>
      <c r="E299" s="478"/>
      <c r="F299" s="478"/>
      <c r="G299" s="478"/>
      <c r="H299" s="478"/>
      <c r="I299" s="478"/>
      <c r="J299" s="478"/>
      <c r="K299" s="478"/>
      <c r="L299" s="479"/>
    </row>
    <row r="300" spans="3:12" hidden="1" x14ac:dyDescent="0.25">
      <c r="C300" s="466" t="s">
        <v>505</v>
      </c>
      <c r="D300" s="467"/>
      <c r="E300" s="467"/>
      <c r="F300" s="467"/>
      <c r="G300" s="467"/>
      <c r="H300" s="467"/>
      <c r="I300" s="467"/>
      <c r="J300" s="467"/>
      <c r="K300" s="467"/>
      <c r="L300" s="468"/>
    </row>
    <row r="301" spans="3:12" ht="25.5" hidden="1" x14ac:dyDescent="0.25">
      <c r="C301" s="72" t="s">
        <v>66</v>
      </c>
      <c r="D301" s="492" t="s">
        <v>498</v>
      </c>
      <c r="E301" s="492"/>
      <c r="F301" s="492"/>
      <c r="G301" s="492"/>
      <c r="H301" s="73" t="s">
        <v>499</v>
      </c>
      <c r="I301" s="74" t="s">
        <v>506</v>
      </c>
      <c r="J301" s="73" t="s">
        <v>501</v>
      </c>
      <c r="K301" s="85" t="s">
        <v>507</v>
      </c>
      <c r="L301" s="70" t="s">
        <v>502</v>
      </c>
    </row>
    <row r="302" spans="3:12" hidden="1" x14ac:dyDescent="0.25">
      <c r="C302" s="72" t="str">
        <f>+MATERIALES!A283</f>
        <v>MAT-253</v>
      </c>
      <c r="D302" s="498" t="str">
        <f>+MATERIALES!B283</f>
        <v>Mortero 1:4 impermeabilizado</v>
      </c>
      <c r="E302" s="496"/>
      <c r="F302" s="496"/>
      <c r="G302" s="497"/>
      <c r="H302" s="73" t="str">
        <f>+MATERIALES!C283</f>
        <v>M3</v>
      </c>
      <c r="I302" s="76">
        <v>1.4999999999999999E-2</v>
      </c>
      <c r="J302" s="86">
        <f>+MATERIALES!D283</f>
        <v>485489</v>
      </c>
      <c r="K302" s="87">
        <v>0.01</v>
      </c>
      <c r="L302" s="88">
        <f>I302*J302*(1+K302)</f>
        <v>7355.1583499999997</v>
      </c>
    </row>
    <row r="303" spans="3:12" hidden="1" x14ac:dyDescent="0.25">
      <c r="C303" s="72" t="str">
        <f>+MATERIALES!A284</f>
        <v>MAT-254</v>
      </c>
      <c r="D303" s="498" t="str">
        <f>+MATERIALES!B284</f>
        <v>Concreto 3000 psi</v>
      </c>
      <c r="E303" s="496"/>
      <c r="F303" s="496"/>
      <c r="G303" s="497"/>
      <c r="H303" s="73" t="str">
        <f>+MATERIALES!C284</f>
        <v>M3</v>
      </c>
      <c r="I303" s="76">
        <v>1.7392718446601944E-2</v>
      </c>
      <c r="J303" s="86">
        <f>+MATERIALES!D284</f>
        <v>680000</v>
      </c>
      <c r="K303" s="87">
        <v>0.01</v>
      </c>
      <c r="L303" s="88">
        <f>I303*J303*(1+K303)</f>
        <v>11945.319029126214</v>
      </c>
    </row>
    <row r="304" spans="3:12" hidden="1" x14ac:dyDescent="0.25">
      <c r="C304" s="72" t="str">
        <f>+MATERIALES!A286</f>
        <v>MAT-256</v>
      </c>
      <c r="D304" s="498" t="str">
        <f>+MATERIALES!B286</f>
        <v>Tapa en HD</v>
      </c>
      <c r="E304" s="496"/>
      <c r="F304" s="496"/>
      <c r="G304" s="497"/>
      <c r="H304" s="73" t="str">
        <f>+MATERIALES!C286</f>
        <v>un</v>
      </c>
      <c r="I304" s="76">
        <v>1</v>
      </c>
      <c r="J304" s="86">
        <f>+MATERIALES!D286</f>
        <v>60000</v>
      </c>
      <c r="K304" s="87">
        <v>0</v>
      </c>
      <c r="L304" s="88">
        <f>I304*J304*(1+K304)</f>
        <v>60000</v>
      </c>
    </row>
    <row r="305" spans="3:14" hidden="1" x14ac:dyDescent="0.25">
      <c r="C305" s="72"/>
      <c r="D305" s="498"/>
      <c r="E305" s="496"/>
      <c r="F305" s="496"/>
      <c r="G305" s="497"/>
      <c r="H305" s="73"/>
      <c r="I305" s="76"/>
      <c r="J305" s="86"/>
      <c r="K305" s="87"/>
      <c r="L305" s="88"/>
    </row>
    <row r="306" spans="3:14" hidden="1" x14ac:dyDescent="0.25">
      <c r="C306" s="72"/>
      <c r="D306" s="460"/>
      <c r="E306" s="499"/>
      <c r="F306" s="499"/>
      <c r="G306" s="461"/>
      <c r="H306" s="73"/>
      <c r="I306" s="89"/>
      <c r="J306" s="86"/>
      <c r="K306" s="87"/>
      <c r="L306" s="88"/>
      <c r="N306" s="118"/>
    </row>
    <row r="307" spans="3:14" hidden="1" x14ac:dyDescent="0.25">
      <c r="C307" s="90"/>
      <c r="D307" s="500"/>
      <c r="E307" s="500"/>
      <c r="F307" s="500"/>
      <c r="G307" s="500"/>
      <c r="H307" s="97"/>
      <c r="I307" s="91"/>
      <c r="J307" s="92"/>
      <c r="K307" s="93"/>
      <c r="L307" s="82"/>
    </row>
    <row r="308" spans="3:14" ht="13.5" hidden="1" thickBot="1" x14ac:dyDescent="0.3">
      <c r="C308" s="94"/>
      <c r="D308" s="485" t="s">
        <v>508</v>
      </c>
      <c r="E308" s="485"/>
      <c r="F308" s="485"/>
      <c r="G308" s="485"/>
      <c r="H308" s="485"/>
      <c r="I308" s="485"/>
      <c r="J308" s="485"/>
      <c r="K308" s="485"/>
      <c r="L308" s="84">
        <f>SUM(L302:L307)</f>
        <v>79300.477379126212</v>
      </c>
    </row>
    <row r="309" spans="3:14" ht="13.5" hidden="1" thickBot="1" x14ac:dyDescent="0.3">
      <c r="C309" s="486"/>
      <c r="D309" s="487"/>
      <c r="E309" s="487"/>
      <c r="F309" s="487"/>
      <c r="G309" s="487"/>
      <c r="H309" s="487"/>
      <c r="I309" s="487"/>
      <c r="J309" s="487"/>
      <c r="K309" s="487"/>
      <c r="L309" s="488"/>
    </row>
    <row r="310" spans="3:14" hidden="1" x14ac:dyDescent="0.25">
      <c r="C310" s="466" t="s">
        <v>509</v>
      </c>
      <c r="D310" s="467"/>
      <c r="E310" s="467"/>
      <c r="F310" s="467"/>
      <c r="G310" s="467"/>
      <c r="H310" s="467"/>
      <c r="I310" s="467"/>
      <c r="J310" s="467"/>
      <c r="K310" s="467"/>
      <c r="L310" s="468"/>
    </row>
    <row r="311" spans="3:14" hidden="1" x14ac:dyDescent="0.25">
      <c r="C311" s="72" t="s">
        <v>66</v>
      </c>
      <c r="D311" s="492" t="s">
        <v>498</v>
      </c>
      <c r="E311" s="492"/>
      <c r="F311" s="492"/>
      <c r="G311" s="492"/>
      <c r="H311" s="73" t="s">
        <v>506</v>
      </c>
      <c r="I311" s="73" t="s">
        <v>499</v>
      </c>
      <c r="J311" s="74" t="s">
        <v>510</v>
      </c>
      <c r="K311" s="85" t="s">
        <v>511</v>
      </c>
      <c r="L311" s="70" t="s">
        <v>502</v>
      </c>
    </row>
    <row r="312" spans="3:14" hidden="1" x14ac:dyDescent="0.25">
      <c r="C312" s="90"/>
      <c r="D312" s="494"/>
      <c r="E312" s="494"/>
      <c r="F312" s="494"/>
      <c r="G312" s="494"/>
      <c r="H312" s="76"/>
      <c r="I312" s="97"/>
      <c r="J312" s="97"/>
      <c r="K312" s="95"/>
      <c r="L312" s="96"/>
    </row>
    <row r="313" spans="3:14" hidden="1" x14ac:dyDescent="0.25">
      <c r="C313" s="90"/>
      <c r="D313" s="495"/>
      <c r="E313" s="495"/>
      <c r="F313" s="495"/>
      <c r="G313" s="495"/>
      <c r="H313" s="76"/>
      <c r="I313" s="97"/>
      <c r="J313" s="97"/>
      <c r="K313" s="95"/>
      <c r="L313" s="96"/>
    </row>
    <row r="314" spans="3:14" hidden="1" x14ac:dyDescent="0.25">
      <c r="C314" s="90"/>
      <c r="D314" s="495"/>
      <c r="E314" s="495"/>
      <c r="F314" s="495"/>
      <c r="G314" s="495"/>
      <c r="H314" s="76"/>
      <c r="I314" s="97"/>
      <c r="J314" s="97"/>
      <c r="K314" s="95"/>
      <c r="L314" s="96"/>
    </row>
    <row r="315" spans="3:14" s="116" customFormat="1" ht="13.5" hidden="1" thickBot="1" x14ac:dyDescent="0.3">
      <c r="C315" s="83"/>
      <c r="D315" s="485" t="s">
        <v>512</v>
      </c>
      <c r="E315" s="485"/>
      <c r="F315" s="485"/>
      <c r="G315" s="485"/>
      <c r="H315" s="485"/>
      <c r="I315" s="485"/>
      <c r="J315" s="485"/>
      <c r="K315" s="485"/>
      <c r="L315" s="98">
        <f>L312</f>
        <v>0</v>
      </c>
    </row>
    <row r="316" spans="3:14" s="116" customFormat="1" ht="13.5" hidden="1" thickBot="1" x14ac:dyDescent="0.3">
      <c r="C316" s="477"/>
      <c r="D316" s="478"/>
      <c r="E316" s="478"/>
      <c r="F316" s="478"/>
      <c r="G316" s="478"/>
      <c r="H316" s="478"/>
      <c r="I316" s="478"/>
      <c r="J316" s="478"/>
      <c r="K316" s="478"/>
      <c r="L316" s="479"/>
    </row>
    <row r="317" spans="3:14" hidden="1" x14ac:dyDescent="0.25">
      <c r="C317" s="466" t="s">
        <v>513</v>
      </c>
      <c r="D317" s="467"/>
      <c r="E317" s="467"/>
      <c r="F317" s="467"/>
      <c r="G317" s="467"/>
      <c r="H317" s="467"/>
      <c r="I317" s="467"/>
      <c r="J317" s="467"/>
      <c r="K317" s="467"/>
      <c r="L317" s="468"/>
    </row>
    <row r="318" spans="3:14" hidden="1" x14ac:dyDescent="0.25">
      <c r="C318" s="72" t="s">
        <v>66</v>
      </c>
      <c r="D318" s="492" t="s">
        <v>498</v>
      </c>
      <c r="E318" s="492"/>
      <c r="F318" s="85" t="s">
        <v>499</v>
      </c>
      <c r="G318" s="85" t="s">
        <v>506</v>
      </c>
      <c r="H318" s="73" t="s">
        <v>514</v>
      </c>
      <c r="I318" s="99" t="s">
        <v>515</v>
      </c>
      <c r="J318" s="85" t="s">
        <v>516</v>
      </c>
      <c r="K318" s="99" t="s">
        <v>517</v>
      </c>
      <c r="L318" s="100" t="s">
        <v>502</v>
      </c>
    </row>
    <row r="319" spans="3:14" hidden="1" x14ac:dyDescent="0.25">
      <c r="C319" s="79" t="s">
        <v>519</v>
      </c>
      <c r="D319" s="460" t="str">
        <f>'MANO DE OBRA'!$B$3</f>
        <v>Ayudante</v>
      </c>
      <c r="E319" s="461"/>
      <c r="F319" s="97" t="str">
        <f>'MANO DE OBRA'!$C$3</f>
        <v>DIA</v>
      </c>
      <c r="G319" s="76">
        <v>1</v>
      </c>
      <c r="H319" s="101">
        <f>'MANO DE OBRA'!$D$3</f>
        <v>28981.77</v>
      </c>
      <c r="I319" s="102">
        <v>0.75649999999999995</v>
      </c>
      <c r="J319" s="103">
        <f>(H319+(H319*I319))</f>
        <v>50906.479005000001</v>
      </c>
      <c r="K319" s="76">
        <v>10</v>
      </c>
      <c r="L319" s="96">
        <f>G319*(J319/K319)</f>
        <v>5090.6479005000001</v>
      </c>
    </row>
    <row r="320" spans="3:14" hidden="1" x14ac:dyDescent="0.25">
      <c r="C320" s="79"/>
      <c r="D320" s="460"/>
      <c r="E320" s="461"/>
      <c r="F320" s="97"/>
      <c r="G320" s="76"/>
      <c r="H320" s="101"/>
      <c r="I320" s="102"/>
      <c r="J320" s="103"/>
      <c r="K320" s="76"/>
      <c r="L320" s="96"/>
    </row>
    <row r="321" spans="3:12" hidden="1" x14ac:dyDescent="0.25">
      <c r="C321" s="90"/>
      <c r="D321" s="493"/>
      <c r="E321" s="493"/>
      <c r="F321" s="97"/>
      <c r="G321" s="76"/>
      <c r="H321" s="101"/>
      <c r="I321" s="102"/>
      <c r="J321" s="103"/>
      <c r="K321" s="76"/>
      <c r="L321" s="96"/>
    </row>
    <row r="322" spans="3:12" s="116" customFormat="1" ht="13.5" hidden="1" thickBot="1" x14ac:dyDescent="0.3">
      <c r="C322" s="83"/>
      <c r="D322" s="485" t="s">
        <v>520</v>
      </c>
      <c r="E322" s="485"/>
      <c r="F322" s="485"/>
      <c r="G322" s="485"/>
      <c r="H322" s="485"/>
      <c r="I322" s="485"/>
      <c r="J322" s="485"/>
      <c r="K322" s="485"/>
      <c r="L322" s="98">
        <f>L320+L319</f>
        <v>5090.6479005000001</v>
      </c>
    </row>
    <row r="323" spans="3:12" ht="13.5" hidden="1" thickBot="1" x14ac:dyDescent="0.3">
      <c r="C323" s="486"/>
      <c r="D323" s="487"/>
      <c r="E323" s="487"/>
      <c r="F323" s="487"/>
      <c r="G323" s="487"/>
      <c r="H323" s="487"/>
      <c r="I323" s="487"/>
      <c r="J323" s="487"/>
      <c r="K323" s="487"/>
      <c r="L323" s="488"/>
    </row>
    <row r="324" spans="3:12" ht="13.5" hidden="1" thickBot="1" x14ac:dyDescent="0.3">
      <c r="C324" s="489" t="s">
        <v>521</v>
      </c>
      <c r="D324" s="490"/>
      <c r="E324" s="490"/>
      <c r="F324" s="490"/>
      <c r="G324" s="490"/>
      <c r="H324" s="490"/>
      <c r="I324" s="490"/>
      <c r="J324" s="491"/>
      <c r="K324" s="145">
        <f>ROUND(L322+L315+L308+L298,0)</f>
        <v>84900</v>
      </c>
      <c r="L324" s="146"/>
    </row>
    <row r="325" spans="3:12" hidden="1" x14ac:dyDescent="0.25"/>
    <row r="326" spans="3:12" hidden="1" x14ac:dyDescent="0.25"/>
    <row r="327" spans="3:12" s="116" customFormat="1" hidden="1" x14ac:dyDescent="0.25">
      <c r="C327" s="466" t="s">
        <v>495</v>
      </c>
      <c r="D327" s="467"/>
      <c r="E327" s="467"/>
      <c r="F327" s="467"/>
      <c r="G327" s="467"/>
      <c r="H327" s="467"/>
      <c r="I327" s="467"/>
      <c r="J327" s="467"/>
      <c r="K327" s="467"/>
      <c r="L327" s="468"/>
    </row>
    <row r="328" spans="3:12" s="116" customFormat="1" hidden="1" x14ac:dyDescent="0.25">
      <c r="C328" s="469" t="str">
        <f>+PPTO!A2</f>
        <v>REPOSICION E INSTALACION VALVULAS DE SECTORIZACION EN DIFERENTES SECTORES DEL MUNICIPIO DE PIEDECUESTA - SANTANDER.</v>
      </c>
      <c r="D328" s="470"/>
      <c r="E328" s="470"/>
      <c r="F328" s="470"/>
      <c r="G328" s="470"/>
      <c r="H328" s="470"/>
      <c r="I328" s="470"/>
      <c r="J328" s="470"/>
      <c r="K328" s="470"/>
      <c r="L328" s="471"/>
    </row>
    <row r="329" spans="3:12" hidden="1" x14ac:dyDescent="0.25">
      <c r="C329" s="472" t="s">
        <v>496</v>
      </c>
      <c r="D329" s="141">
        <f>+PPTO!A15</f>
        <v>3</v>
      </c>
      <c r="E329" s="474" t="str">
        <f>+PPTO!B15</f>
        <v>CONCRETOS Y ESTRUCTURAS</v>
      </c>
      <c r="F329" s="475"/>
      <c r="G329" s="475"/>
      <c r="H329" s="475"/>
      <c r="I329" s="475"/>
      <c r="J329" s="475"/>
      <c r="K329" s="475"/>
      <c r="L329" s="70" t="s">
        <v>52</v>
      </c>
    </row>
    <row r="330" spans="3:12" ht="30" hidden="1" customHeight="1" thickBot="1" x14ac:dyDescent="0.3">
      <c r="C330" s="473"/>
      <c r="D330" s="120">
        <f>+PPTO!A18</f>
        <v>3.03</v>
      </c>
      <c r="E330" s="476" t="str">
        <f>+PPTO!B18</f>
        <v>Concreto simple f`c=2500 PSI para atraques</v>
      </c>
      <c r="F330" s="476"/>
      <c r="G330" s="476"/>
      <c r="H330" s="476"/>
      <c r="I330" s="476"/>
      <c r="J330" s="476"/>
      <c r="K330" s="476"/>
      <c r="L330" s="71" t="str">
        <f>+PPTO!C18</f>
        <v>M3</v>
      </c>
    </row>
    <row r="331" spans="3:12" ht="13.5" hidden="1" thickBot="1" x14ac:dyDescent="0.3">
      <c r="C331" s="477"/>
      <c r="D331" s="478"/>
      <c r="E331" s="478"/>
      <c r="F331" s="478"/>
      <c r="G331" s="478"/>
      <c r="H331" s="478"/>
      <c r="I331" s="478"/>
      <c r="J331" s="478"/>
      <c r="K331" s="478"/>
      <c r="L331" s="479"/>
    </row>
    <row r="332" spans="3:12" hidden="1" x14ac:dyDescent="0.25">
      <c r="C332" s="466" t="s">
        <v>497</v>
      </c>
      <c r="D332" s="467"/>
      <c r="E332" s="467"/>
      <c r="F332" s="467"/>
      <c r="G332" s="467"/>
      <c r="H332" s="467"/>
      <c r="I332" s="467"/>
      <c r="J332" s="467"/>
      <c r="K332" s="467"/>
      <c r="L332" s="468"/>
    </row>
    <row r="333" spans="3:12" hidden="1" x14ac:dyDescent="0.25">
      <c r="C333" s="72" t="s">
        <v>66</v>
      </c>
      <c r="D333" s="492" t="s">
        <v>498</v>
      </c>
      <c r="E333" s="492"/>
      <c r="F333" s="492"/>
      <c r="G333" s="492"/>
      <c r="H333" s="492"/>
      <c r="I333" s="73" t="s">
        <v>499</v>
      </c>
      <c r="J333" s="74" t="s">
        <v>500</v>
      </c>
      <c r="K333" s="73" t="s">
        <v>501</v>
      </c>
      <c r="L333" s="70" t="s">
        <v>502</v>
      </c>
    </row>
    <row r="334" spans="3:12" hidden="1" x14ac:dyDescent="0.25">
      <c r="C334" s="75"/>
      <c r="D334" s="460"/>
      <c r="E334" s="499"/>
      <c r="F334" s="499"/>
      <c r="G334" s="499"/>
      <c r="H334" s="461"/>
      <c r="I334" s="76"/>
      <c r="J334" s="76"/>
      <c r="K334" s="77"/>
      <c r="L334" s="78"/>
    </row>
    <row r="335" spans="3:12" hidden="1" x14ac:dyDescent="0.25">
      <c r="C335" s="75"/>
      <c r="D335" s="493"/>
      <c r="E335" s="493"/>
      <c r="F335" s="493"/>
      <c r="G335" s="493"/>
      <c r="H335" s="493"/>
      <c r="I335" s="76"/>
      <c r="J335" s="80"/>
      <c r="K335" s="81"/>
      <c r="L335" s="78"/>
    </row>
    <row r="336" spans="3:12" hidden="1" x14ac:dyDescent="0.25">
      <c r="C336" s="79"/>
      <c r="D336" s="493" t="s">
        <v>503</v>
      </c>
      <c r="E336" s="493"/>
      <c r="F336" s="493"/>
      <c r="G336" s="493"/>
      <c r="H336" s="493"/>
      <c r="I336" s="76" t="s">
        <v>61</v>
      </c>
      <c r="J336" s="80">
        <v>1</v>
      </c>
      <c r="K336" s="81">
        <f>L358*0.1</f>
        <v>4739.9964003000005</v>
      </c>
      <c r="L336" s="82">
        <f>K336/J336</f>
        <v>4739.9964003000005</v>
      </c>
    </row>
    <row r="337" spans="3:12" s="116" customFormat="1" ht="13.5" hidden="1" thickBot="1" x14ac:dyDescent="0.3">
      <c r="C337" s="83"/>
      <c r="D337" s="485" t="s">
        <v>504</v>
      </c>
      <c r="E337" s="485"/>
      <c r="F337" s="485"/>
      <c r="G337" s="485"/>
      <c r="H337" s="485"/>
      <c r="I337" s="485"/>
      <c r="J337" s="485"/>
      <c r="K337" s="485"/>
      <c r="L337" s="84">
        <f>SUM(L334:L336)</f>
        <v>4739.9964003000005</v>
      </c>
    </row>
    <row r="338" spans="3:12" s="116" customFormat="1" ht="13.5" hidden="1" thickBot="1" x14ac:dyDescent="0.3">
      <c r="C338" s="477"/>
      <c r="D338" s="478"/>
      <c r="E338" s="478"/>
      <c r="F338" s="478"/>
      <c r="G338" s="478"/>
      <c r="H338" s="478"/>
      <c r="I338" s="478"/>
      <c r="J338" s="478"/>
      <c r="K338" s="478"/>
      <c r="L338" s="479"/>
    </row>
    <row r="339" spans="3:12" hidden="1" x14ac:dyDescent="0.25">
      <c r="C339" s="466" t="s">
        <v>505</v>
      </c>
      <c r="D339" s="467"/>
      <c r="E339" s="467"/>
      <c r="F339" s="467"/>
      <c r="G339" s="467"/>
      <c r="H339" s="467"/>
      <c r="I339" s="467"/>
      <c r="J339" s="467"/>
      <c r="K339" s="467"/>
      <c r="L339" s="468"/>
    </row>
    <row r="340" spans="3:12" ht="25.5" hidden="1" x14ac:dyDescent="0.25">
      <c r="C340" s="72" t="s">
        <v>66</v>
      </c>
      <c r="D340" s="492" t="s">
        <v>498</v>
      </c>
      <c r="E340" s="492"/>
      <c r="F340" s="492"/>
      <c r="G340" s="492"/>
      <c r="H340" s="73" t="s">
        <v>499</v>
      </c>
      <c r="I340" s="74" t="s">
        <v>506</v>
      </c>
      <c r="J340" s="73" t="s">
        <v>501</v>
      </c>
      <c r="K340" s="85" t="s">
        <v>507</v>
      </c>
      <c r="L340" s="70" t="s">
        <v>502</v>
      </c>
    </row>
    <row r="341" spans="3:12" hidden="1" x14ac:dyDescent="0.25">
      <c r="C341" s="72" t="str">
        <f>+MATERIALES!A184</f>
        <v>MAT-162</v>
      </c>
      <c r="D341" s="498" t="str">
        <f>+MATERIALES!B184</f>
        <v xml:space="preserve">Concreto 2500 PSI </v>
      </c>
      <c r="E341" s="496"/>
      <c r="F341" s="496"/>
      <c r="G341" s="497"/>
      <c r="H341" s="73" t="str">
        <f>+MATERIALES!C184</f>
        <v>M3</v>
      </c>
      <c r="I341" s="76">
        <v>1</v>
      </c>
      <c r="J341" s="86">
        <f>+MATERIALES!D184</f>
        <v>524514.87108951597</v>
      </c>
      <c r="K341" s="87">
        <v>0.01</v>
      </c>
      <c r="L341" s="88">
        <f>I341*J341*(1+K341)</f>
        <v>529760.01980041119</v>
      </c>
    </row>
    <row r="342" spans="3:12" hidden="1" x14ac:dyDescent="0.25">
      <c r="C342" s="72"/>
      <c r="D342" s="460"/>
      <c r="E342" s="499"/>
      <c r="F342" s="499"/>
      <c r="G342" s="461"/>
      <c r="H342" s="73"/>
      <c r="I342" s="76"/>
      <c r="J342" s="86"/>
      <c r="K342" s="87"/>
      <c r="L342" s="88"/>
    </row>
    <row r="343" spans="3:12" hidden="1" x14ac:dyDescent="0.25">
      <c r="C343" s="90"/>
      <c r="D343" s="500"/>
      <c r="E343" s="500"/>
      <c r="F343" s="500"/>
      <c r="G343" s="500"/>
      <c r="H343" s="97"/>
      <c r="I343" s="91"/>
      <c r="J343" s="92"/>
      <c r="K343" s="93"/>
      <c r="L343" s="82"/>
    </row>
    <row r="344" spans="3:12" ht="13.5" hidden="1" thickBot="1" x14ac:dyDescent="0.3">
      <c r="C344" s="94"/>
      <c r="D344" s="485" t="s">
        <v>508</v>
      </c>
      <c r="E344" s="485"/>
      <c r="F344" s="485"/>
      <c r="G344" s="485"/>
      <c r="H344" s="485"/>
      <c r="I344" s="485"/>
      <c r="J344" s="485"/>
      <c r="K344" s="485"/>
      <c r="L344" s="84">
        <f>SUM(L341:L343)</f>
        <v>529760.01980041119</v>
      </c>
    </row>
    <row r="345" spans="3:12" ht="13.5" hidden="1" thickBot="1" x14ac:dyDescent="0.3">
      <c r="C345" s="486"/>
      <c r="D345" s="487"/>
      <c r="E345" s="487"/>
      <c r="F345" s="487"/>
      <c r="G345" s="487"/>
      <c r="H345" s="487"/>
      <c r="I345" s="487"/>
      <c r="J345" s="487"/>
      <c r="K345" s="487"/>
      <c r="L345" s="488"/>
    </row>
    <row r="346" spans="3:12" hidden="1" x14ac:dyDescent="0.25">
      <c r="C346" s="466" t="s">
        <v>509</v>
      </c>
      <c r="D346" s="467"/>
      <c r="E346" s="467"/>
      <c r="F346" s="467"/>
      <c r="G346" s="467"/>
      <c r="H346" s="467"/>
      <c r="I346" s="467"/>
      <c r="J346" s="467"/>
      <c r="K346" s="467"/>
      <c r="L346" s="468"/>
    </row>
    <row r="347" spans="3:12" hidden="1" x14ac:dyDescent="0.25">
      <c r="C347" s="72" t="s">
        <v>66</v>
      </c>
      <c r="D347" s="492" t="s">
        <v>498</v>
      </c>
      <c r="E347" s="492"/>
      <c r="F347" s="492"/>
      <c r="G347" s="492"/>
      <c r="H347" s="73" t="s">
        <v>506</v>
      </c>
      <c r="I347" s="73" t="s">
        <v>499</v>
      </c>
      <c r="J347" s="74" t="s">
        <v>510</v>
      </c>
      <c r="K347" s="85" t="s">
        <v>511</v>
      </c>
      <c r="L347" s="70" t="s">
        <v>502</v>
      </c>
    </row>
    <row r="348" spans="3:12" hidden="1" x14ac:dyDescent="0.25">
      <c r="C348" s="90"/>
      <c r="D348" s="494"/>
      <c r="E348" s="494"/>
      <c r="F348" s="494"/>
      <c r="G348" s="494"/>
      <c r="H348" s="76"/>
      <c r="I348" s="97"/>
      <c r="J348" s="97"/>
      <c r="K348" s="95"/>
      <c r="L348" s="96"/>
    </row>
    <row r="349" spans="3:12" hidden="1" x14ac:dyDescent="0.25">
      <c r="C349" s="90"/>
      <c r="D349" s="495"/>
      <c r="E349" s="495"/>
      <c r="F349" s="495"/>
      <c r="G349" s="495"/>
      <c r="H349" s="76"/>
      <c r="I349" s="97"/>
      <c r="J349" s="97"/>
      <c r="K349" s="95"/>
      <c r="L349" s="96"/>
    </row>
    <row r="350" spans="3:12" hidden="1" x14ac:dyDescent="0.25">
      <c r="C350" s="90"/>
      <c r="D350" s="495"/>
      <c r="E350" s="495"/>
      <c r="F350" s="495"/>
      <c r="G350" s="495"/>
      <c r="H350" s="76"/>
      <c r="I350" s="97"/>
      <c r="J350" s="97"/>
      <c r="K350" s="95"/>
      <c r="L350" s="96"/>
    </row>
    <row r="351" spans="3:12" s="116" customFormat="1" ht="13.5" hidden="1" thickBot="1" x14ac:dyDescent="0.3">
      <c r="C351" s="83"/>
      <c r="D351" s="485" t="s">
        <v>512</v>
      </c>
      <c r="E351" s="485"/>
      <c r="F351" s="485"/>
      <c r="G351" s="485"/>
      <c r="H351" s="485"/>
      <c r="I351" s="485"/>
      <c r="J351" s="485"/>
      <c r="K351" s="485"/>
      <c r="L351" s="98">
        <f>L348</f>
        <v>0</v>
      </c>
    </row>
    <row r="352" spans="3:12" s="116" customFormat="1" ht="13.5" hidden="1" thickBot="1" x14ac:dyDescent="0.3">
      <c r="C352" s="477"/>
      <c r="D352" s="478"/>
      <c r="E352" s="478"/>
      <c r="F352" s="478"/>
      <c r="G352" s="478"/>
      <c r="H352" s="478"/>
      <c r="I352" s="478"/>
      <c r="J352" s="478"/>
      <c r="K352" s="478"/>
      <c r="L352" s="479"/>
    </row>
    <row r="353" spans="3:12" hidden="1" x14ac:dyDescent="0.25">
      <c r="C353" s="466" t="s">
        <v>513</v>
      </c>
      <c r="D353" s="467"/>
      <c r="E353" s="467"/>
      <c r="F353" s="467"/>
      <c r="G353" s="467"/>
      <c r="H353" s="467"/>
      <c r="I353" s="467"/>
      <c r="J353" s="467"/>
      <c r="K353" s="467"/>
      <c r="L353" s="468"/>
    </row>
    <row r="354" spans="3:12" hidden="1" x14ac:dyDescent="0.25">
      <c r="C354" s="72" t="s">
        <v>66</v>
      </c>
      <c r="D354" s="492" t="s">
        <v>498</v>
      </c>
      <c r="E354" s="492"/>
      <c r="F354" s="85" t="s">
        <v>499</v>
      </c>
      <c r="G354" s="85" t="s">
        <v>506</v>
      </c>
      <c r="H354" s="73" t="s">
        <v>514</v>
      </c>
      <c r="I354" s="99" t="s">
        <v>515</v>
      </c>
      <c r="J354" s="85" t="s">
        <v>516</v>
      </c>
      <c r="K354" s="99" t="s">
        <v>517</v>
      </c>
      <c r="L354" s="100" t="s">
        <v>502</v>
      </c>
    </row>
    <row r="355" spans="3:12" hidden="1" x14ac:dyDescent="0.25">
      <c r="C355" s="79" t="s">
        <v>519</v>
      </c>
      <c r="D355" s="460" t="str">
        <f>'MANO DE OBRA'!$B$3</f>
        <v>Ayudante</v>
      </c>
      <c r="E355" s="461"/>
      <c r="F355" s="97" t="str">
        <f>'MANO DE OBRA'!$C$2</f>
        <v>DIA</v>
      </c>
      <c r="G355" s="76">
        <v>3</v>
      </c>
      <c r="H355" s="101">
        <f>'MANO DE OBRA'!$D$3</f>
        <v>28981.77</v>
      </c>
      <c r="I355" s="102">
        <v>0.75649999999999995</v>
      </c>
      <c r="J355" s="103">
        <f>(H355+(H355*I355))</f>
        <v>50906.479005000001</v>
      </c>
      <c r="K355" s="76">
        <v>5</v>
      </c>
      <c r="L355" s="96">
        <f>G355*(J355/K355)</f>
        <v>30543.887403000001</v>
      </c>
    </row>
    <row r="356" spans="3:12" hidden="1" x14ac:dyDescent="0.25">
      <c r="C356" s="79" t="s">
        <v>526</v>
      </c>
      <c r="D356" s="460" t="str">
        <f>'MANO DE OBRA'!$B$2</f>
        <v>Oficial</v>
      </c>
      <c r="E356" s="461"/>
      <c r="F356" s="97" t="str">
        <f>'MANO DE OBRA'!$C$3</f>
        <v>DIA</v>
      </c>
      <c r="G356" s="76">
        <v>1</v>
      </c>
      <c r="H356" s="101">
        <f>'MANO DE OBRA'!$D$2</f>
        <v>47982</v>
      </c>
      <c r="I356" s="102">
        <v>0.75649999999999995</v>
      </c>
      <c r="J356" s="103">
        <f>(H356+(H356*I356))</f>
        <v>84280.383000000002</v>
      </c>
      <c r="K356" s="76">
        <v>5</v>
      </c>
      <c r="L356" s="96">
        <f>G356*(J356/K356)</f>
        <v>16856.0766</v>
      </c>
    </row>
    <row r="357" spans="3:12" hidden="1" x14ac:dyDescent="0.25">
      <c r="C357" s="90"/>
      <c r="D357" s="493"/>
      <c r="E357" s="493"/>
      <c r="F357" s="97"/>
      <c r="G357" s="76"/>
      <c r="H357" s="101"/>
      <c r="I357" s="102"/>
      <c r="J357" s="103"/>
      <c r="K357" s="76"/>
      <c r="L357" s="96"/>
    </row>
    <row r="358" spans="3:12" s="116" customFormat="1" ht="13.5" hidden="1" thickBot="1" x14ac:dyDescent="0.3">
      <c r="C358" s="83"/>
      <c r="D358" s="485" t="s">
        <v>520</v>
      </c>
      <c r="E358" s="485"/>
      <c r="F358" s="485"/>
      <c r="G358" s="485"/>
      <c r="H358" s="485"/>
      <c r="I358" s="485"/>
      <c r="J358" s="485"/>
      <c r="K358" s="485"/>
      <c r="L358" s="98">
        <f>L356+L355</f>
        <v>47399.964003000001</v>
      </c>
    </row>
    <row r="359" spans="3:12" ht="13.5" hidden="1" thickBot="1" x14ac:dyDescent="0.3">
      <c r="C359" s="486"/>
      <c r="D359" s="487"/>
      <c r="E359" s="487"/>
      <c r="F359" s="487"/>
      <c r="G359" s="487"/>
      <c r="H359" s="487"/>
      <c r="I359" s="487"/>
      <c r="J359" s="487"/>
      <c r="K359" s="487"/>
      <c r="L359" s="488"/>
    </row>
    <row r="360" spans="3:12" ht="13.5" hidden="1" thickBot="1" x14ac:dyDescent="0.3">
      <c r="C360" s="489" t="s">
        <v>521</v>
      </c>
      <c r="D360" s="490"/>
      <c r="E360" s="490"/>
      <c r="F360" s="490"/>
      <c r="G360" s="490"/>
      <c r="H360" s="490"/>
      <c r="I360" s="490"/>
      <c r="J360" s="491"/>
      <c r="K360" s="145">
        <f>ROUND(L358+L351+L344+L337,0)</f>
        <v>581900</v>
      </c>
      <c r="L360" s="146"/>
    </row>
    <row r="362" spans="3:12" ht="13.5" thickBot="1" x14ac:dyDescent="0.3"/>
    <row r="363" spans="3:12" x14ac:dyDescent="0.25">
      <c r="C363" s="466" t="s">
        <v>495</v>
      </c>
      <c r="D363" s="467"/>
      <c r="E363" s="467"/>
      <c r="F363" s="467"/>
      <c r="G363" s="467"/>
      <c r="H363" s="467"/>
      <c r="I363" s="467"/>
      <c r="J363" s="467"/>
      <c r="K363" s="467"/>
      <c r="L363" s="468"/>
    </row>
    <row r="364" spans="3:12" x14ac:dyDescent="0.25">
      <c r="C364" s="469" t="str">
        <f>+PPTO!$A$2</f>
        <v>REPOSICION E INSTALACION VALVULAS DE SECTORIZACION EN DIFERENTES SECTORES DEL MUNICIPIO DE PIEDECUESTA - SANTANDER.</v>
      </c>
      <c r="D364" s="470"/>
      <c r="E364" s="470"/>
      <c r="F364" s="470"/>
      <c r="G364" s="470"/>
      <c r="H364" s="470"/>
      <c r="I364" s="470"/>
      <c r="J364" s="470"/>
      <c r="K364" s="470"/>
      <c r="L364" s="471"/>
    </row>
    <row r="365" spans="3:12" x14ac:dyDescent="0.25">
      <c r="C365" s="472" t="s">
        <v>496</v>
      </c>
      <c r="D365" s="141">
        <f>+PROYECCION!A55</f>
        <v>6</v>
      </c>
      <c r="E365" s="474" t="str">
        <f>+PROYECCION!B55</f>
        <v>ITEMS NO PREVISTOS</v>
      </c>
      <c r="F365" s="475"/>
      <c r="G365" s="475"/>
      <c r="H365" s="475"/>
      <c r="I365" s="475"/>
      <c r="J365" s="475"/>
      <c r="K365" s="475"/>
      <c r="L365" s="70" t="s">
        <v>52</v>
      </c>
    </row>
    <row r="366" spans="3:12" ht="13.5" thickBot="1" x14ac:dyDescent="0.3">
      <c r="C366" s="473"/>
      <c r="D366" s="120">
        <f>+PROYECCION!A56</f>
        <v>6.01</v>
      </c>
      <c r="E366" s="476" t="str">
        <f>+PROYECCION!B56</f>
        <v>Desmonte de válvula  D=4" en HD JH</v>
      </c>
      <c r="F366" s="476"/>
      <c r="G366" s="476"/>
      <c r="H366" s="476"/>
      <c r="I366" s="476"/>
      <c r="J366" s="476"/>
      <c r="K366" s="476"/>
      <c r="L366" s="71" t="str">
        <f>+PROYECCION!C56</f>
        <v>UND</v>
      </c>
    </row>
    <row r="367" spans="3:12" ht="13.5" thickBot="1" x14ac:dyDescent="0.3">
      <c r="C367" s="477"/>
      <c r="D367" s="478"/>
      <c r="E367" s="478"/>
      <c r="F367" s="478"/>
      <c r="G367" s="478"/>
      <c r="H367" s="478"/>
      <c r="I367" s="478"/>
      <c r="J367" s="478"/>
      <c r="K367" s="478"/>
      <c r="L367" s="479"/>
    </row>
    <row r="368" spans="3:12" x14ac:dyDescent="0.25">
      <c r="C368" s="466" t="s">
        <v>497</v>
      </c>
      <c r="D368" s="467"/>
      <c r="E368" s="467"/>
      <c r="F368" s="467"/>
      <c r="G368" s="467"/>
      <c r="H368" s="467"/>
      <c r="I368" s="467"/>
      <c r="J368" s="467"/>
      <c r="K368" s="467"/>
      <c r="L368" s="468"/>
    </row>
    <row r="369" spans="3:15" x14ac:dyDescent="0.25">
      <c r="C369" s="72" t="s">
        <v>66</v>
      </c>
      <c r="D369" s="492" t="s">
        <v>498</v>
      </c>
      <c r="E369" s="492"/>
      <c r="F369" s="492"/>
      <c r="G369" s="492"/>
      <c r="H369" s="492"/>
      <c r="I369" s="73" t="s">
        <v>499</v>
      </c>
      <c r="J369" s="74" t="s">
        <v>500</v>
      </c>
      <c r="K369" s="73" t="s">
        <v>501</v>
      </c>
      <c r="L369" s="70" t="s">
        <v>502</v>
      </c>
    </row>
    <row r="370" spans="3:15" x14ac:dyDescent="0.25">
      <c r="C370" s="75"/>
      <c r="D370" s="460"/>
      <c r="E370" s="499"/>
      <c r="F370" s="499"/>
      <c r="G370" s="499"/>
      <c r="H370" s="461"/>
      <c r="I370" s="76"/>
      <c r="J370" s="76"/>
      <c r="K370" s="77"/>
      <c r="L370" s="78"/>
    </row>
    <row r="371" spans="3:15" x14ac:dyDescent="0.25">
      <c r="C371" s="147"/>
      <c r="D371" s="493"/>
      <c r="E371" s="493"/>
      <c r="F371" s="493"/>
      <c r="G371" s="493"/>
      <c r="H371" s="493"/>
      <c r="I371" s="76"/>
      <c r="J371" s="80"/>
      <c r="K371" s="81"/>
      <c r="L371" s="78"/>
    </row>
    <row r="372" spans="3:15" x14ac:dyDescent="0.25">
      <c r="C372" s="79"/>
      <c r="D372" s="493" t="s">
        <v>503</v>
      </c>
      <c r="E372" s="493"/>
      <c r="F372" s="493"/>
      <c r="G372" s="493"/>
      <c r="H372" s="493"/>
      <c r="I372" s="76" t="s">
        <v>61</v>
      </c>
      <c r="J372" s="80">
        <v>1</v>
      </c>
      <c r="K372" s="81">
        <f>L394*0.1</f>
        <v>7899.9940004999999</v>
      </c>
      <c r="L372" s="82">
        <f>K372/J372</f>
        <v>7899.9940004999999</v>
      </c>
    </row>
    <row r="373" spans="3:15" ht="13.5" thickBot="1" x14ac:dyDescent="0.3">
      <c r="C373" s="83"/>
      <c r="D373" s="485" t="s">
        <v>504</v>
      </c>
      <c r="E373" s="485"/>
      <c r="F373" s="485"/>
      <c r="G373" s="485"/>
      <c r="H373" s="485"/>
      <c r="I373" s="485"/>
      <c r="J373" s="485"/>
      <c r="K373" s="485"/>
      <c r="L373" s="84">
        <f>SUM(L370:L372)</f>
        <v>7899.9940004999999</v>
      </c>
    </row>
    <row r="374" spans="3:15" ht="13.5" thickBot="1" x14ac:dyDescent="0.3">
      <c r="C374" s="477"/>
      <c r="D374" s="478"/>
      <c r="E374" s="478"/>
      <c r="F374" s="478"/>
      <c r="G374" s="478"/>
      <c r="H374" s="478"/>
      <c r="I374" s="478"/>
      <c r="J374" s="478"/>
      <c r="K374" s="478"/>
      <c r="L374" s="479"/>
    </row>
    <row r="375" spans="3:15" x14ac:dyDescent="0.25">
      <c r="C375" s="466" t="s">
        <v>505</v>
      </c>
      <c r="D375" s="467"/>
      <c r="E375" s="467"/>
      <c r="F375" s="467"/>
      <c r="G375" s="467"/>
      <c r="H375" s="467"/>
      <c r="I375" s="467"/>
      <c r="J375" s="467"/>
      <c r="K375" s="467"/>
      <c r="L375" s="468"/>
    </row>
    <row r="376" spans="3:15" ht="25.5" x14ac:dyDescent="0.25">
      <c r="C376" s="72" t="s">
        <v>66</v>
      </c>
      <c r="D376" s="492" t="s">
        <v>498</v>
      </c>
      <c r="E376" s="492"/>
      <c r="F376" s="492"/>
      <c r="G376" s="492"/>
      <c r="H376" s="73" t="s">
        <v>499</v>
      </c>
      <c r="I376" s="74" t="s">
        <v>506</v>
      </c>
      <c r="J376" s="73" t="s">
        <v>501</v>
      </c>
      <c r="K376" s="85" t="s">
        <v>507</v>
      </c>
      <c r="L376" s="70" t="s">
        <v>502</v>
      </c>
    </row>
    <row r="377" spans="3:15" x14ac:dyDescent="0.25">
      <c r="C377" s="72"/>
      <c r="D377" s="498"/>
      <c r="E377" s="496"/>
      <c r="F377" s="496"/>
      <c r="G377" s="497"/>
      <c r="H377" s="73"/>
      <c r="I377" s="76"/>
      <c r="J377" s="86"/>
      <c r="K377" s="87">
        <v>0</v>
      </c>
      <c r="L377" s="88">
        <f>I377*J377*(1+K377)</f>
        <v>0</v>
      </c>
    </row>
    <row r="378" spans="3:15" x14ac:dyDescent="0.25">
      <c r="C378" s="72"/>
      <c r="D378" s="460"/>
      <c r="E378" s="499"/>
      <c r="F378" s="499"/>
      <c r="G378" s="461"/>
      <c r="H378" s="73"/>
      <c r="I378" s="76"/>
      <c r="J378" s="86"/>
      <c r="K378" s="87"/>
      <c r="L378" s="88"/>
    </row>
    <row r="379" spans="3:15" x14ac:dyDescent="0.25">
      <c r="C379" s="90"/>
      <c r="D379" s="500"/>
      <c r="E379" s="500"/>
      <c r="F379" s="500"/>
      <c r="G379" s="500"/>
      <c r="H379" s="97"/>
      <c r="I379" s="91"/>
      <c r="J379" s="92"/>
      <c r="K379" s="93"/>
      <c r="L379" s="82"/>
    </row>
    <row r="380" spans="3:15" ht="13.5" thickBot="1" x14ac:dyDescent="0.3">
      <c r="C380" s="94"/>
      <c r="D380" s="485" t="s">
        <v>508</v>
      </c>
      <c r="E380" s="485"/>
      <c r="F380" s="485"/>
      <c r="G380" s="485"/>
      <c r="H380" s="485"/>
      <c r="I380" s="485"/>
      <c r="J380" s="485"/>
      <c r="K380" s="485"/>
      <c r="L380" s="84">
        <f>SUM(L377:L379)</f>
        <v>0</v>
      </c>
    </row>
    <row r="381" spans="3:15" ht="13.5" thickBot="1" x14ac:dyDescent="0.3">
      <c r="C381" s="486"/>
      <c r="D381" s="487"/>
      <c r="E381" s="487"/>
      <c r="F381" s="487"/>
      <c r="G381" s="487"/>
      <c r="H381" s="487"/>
      <c r="I381" s="487"/>
      <c r="J381" s="487"/>
      <c r="K381" s="487"/>
      <c r="L381" s="488"/>
    </row>
    <row r="382" spans="3:15" x14ac:dyDescent="0.25">
      <c r="C382" s="466" t="s">
        <v>509</v>
      </c>
      <c r="D382" s="467"/>
      <c r="E382" s="467"/>
      <c r="F382" s="467"/>
      <c r="G382" s="467"/>
      <c r="H382" s="467"/>
      <c r="I382" s="467"/>
      <c r="J382" s="467"/>
      <c r="K382" s="467"/>
      <c r="L382" s="468"/>
    </row>
    <row r="383" spans="3:15" x14ac:dyDescent="0.25">
      <c r="C383" s="72" t="s">
        <v>66</v>
      </c>
      <c r="D383" s="492" t="s">
        <v>498</v>
      </c>
      <c r="E383" s="492"/>
      <c r="F383" s="492"/>
      <c r="G383" s="492"/>
      <c r="H383" s="73" t="s">
        <v>506</v>
      </c>
      <c r="I383" s="73" t="s">
        <v>499</v>
      </c>
      <c r="J383" s="74" t="s">
        <v>510</v>
      </c>
      <c r="K383" s="85" t="s">
        <v>511</v>
      </c>
      <c r="L383" s="70" t="s">
        <v>502</v>
      </c>
      <c r="O383" s="148">
        <f>819400-(L373+L394)</f>
        <v>732500.06599449995</v>
      </c>
    </row>
    <row r="384" spans="3:15" x14ac:dyDescent="0.25">
      <c r="C384" s="90"/>
      <c r="D384" s="494"/>
      <c r="E384" s="494"/>
      <c r="F384" s="494"/>
      <c r="G384" s="494"/>
      <c r="H384" s="76"/>
      <c r="I384" s="97"/>
      <c r="J384" s="97"/>
      <c r="K384" s="95"/>
      <c r="L384" s="96"/>
    </row>
    <row r="385" spans="3:12" x14ac:dyDescent="0.25">
      <c r="C385" s="90"/>
      <c r="D385" s="495"/>
      <c r="E385" s="495"/>
      <c r="F385" s="495"/>
      <c r="G385" s="495"/>
      <c r="H385" s="76"/>
      <c r="I385" s="97"/>
      <c r="J385" s="97"/>
      <c r="K385" s="95"/>
      <c r="L385" s="96"/>
    </row>
    <row r="386" spans="3:12" x14ac:dyDescent="0.25">
      <c r="C386" s="90"/>
      <c r="D386" s="495"/>
      <c r="E386" s="495"/>
      <c r="F386" s="495"/>
      <c r="G386" s="495"/>
      <c r="H386" s="76"/>
      <c r="I386" s="97"/>
      <c r="J386" s="97"/>
      <c r="K386" s="95"/>
      <c r="L386" s="96"/>
    </row>
    <row r="387" spans="3:12" ht="13.5" thickBot="1" x14ac:dyDescent="0.3">
      <c r="C387" s="83"/>
      <c r="D387" s="485" t="s">
        <v>512</v>
      </c>
      <c r="E387" s="485"/>
      <c r="F387" s="485"/>
      <c r="G387" s="485"/>
      <c r="H387" s="485"/>
      <c r="I387" s="485"/>
      <c r="J387" s="485"/>
      <c r="K387" s="485"/>
      <c r="L387" s="98">
        <f>L384</f>
        <v>0</v>
      </c>
    </row>
    <row r="388" spans="3:12" ht="13.5" thickBot="1" x14ac:dyDescent="0.3">
      <c r="C388" s="477"/>
      <c r="D388" s="478"/>
      <c r="E388" s="478"/>
      <c r="F388" s="478"/>
      <c r="G388" s="478"/>
      <c r="H388" s="478"/>
      <c r="I388" s="478"/>
      <c r="J388" s="478"/>
      <c r="K388" s="478"/>
      <c r="L388" s="479"/>
    </row>
    <row r="389" spans="3:12" x14ac:dyDescent="0.25">
      <c r="C389" s="466" t="s">
        <v>513</v>
      </c>
      <c r="D389" s="467"/>
      <c r="E389" s="467"/>
      <c r="F389" s="467"/>
      <c r="G389" s="467"/>
      <c r="H389" s="467"/>
      <c r="I389" s="467"/>
      <c r="J389" s="467"/>
      <c r="K389" s="467"/>
      <c r="L389" s="468"/>
    </row>
    <row r="390" spans="3:12" x14ac:dyDescent="0.25">
      <c r="C390" s="72" t="s">
        <v>66</v>
      </c>
      <c r="D390" s="492" t="s">
        <v>498</v>
      </c>
      <c r="E390" s="492"/>
      <c r="F390" s="85" t="s">
        <v>499</v>
      </c>
      <c r="G390" s="85" t="s">
        <v>506</v>
      </c>
      <c r="H390" s="73" t="s">
        <v>514</v>
      </c>
      <c r="I390" s="99" t="s">
        <v>515</v>
      </c>
      <c r="J390" s="85" t="s">
        <v>516</v>
      </c>
      <c r="K390" s="99" t="s">
        <v>517</v>
      </c>
      <c r="L390" s="100" t="s">
        <v>502</v>
      </c>
    </row>
    <row r="391" spans="3:12" x14ac:dyDescent="0.25">
      <c r="C391" s="79" t="s">
        <v>519</v>
      </c>
      <c r="D391" s="460" t="str">
        <f>'MANO DE OBRA'!$B$3</f>
        <v>Ayudante</v>
      </c>
      <c r="E391" s="461"/>
      <c r="F391" s="97" t="str">
        <f>'MANO DE OBRA'!$C$2</f>
        <v>DIA</v>
      </c>
      <c r="G391" s="76">
        <v>3</v>
      </c>
      <c r="H391" s="101">
        <f>'MANO DE OBRA'!$D$3</f>
        <v>28981.77</v>
      </c>
      <c r="I391" s="102">
        <v>0.75649999999999995</v>
      </c>
      <c r="J391" s="103">
        <f>(H391+(H391*I391))</f>
        <v>50906.479005000001</v>
      </c>
      <c r="K391" s="76">
        <v>3</v>
      </c>
      <c r="L391" s="96">
        <f>G391*(J391/K391)</f>
        <v>50906.479005000001</v>
      </c>
    </row>
    <row r="392" spans="3:12" x14ac:dyDescent="0.25">
      <c r="C392" s="79" t="s">
        <v>526</v>
      </c>
      <c r="D392" s="460" t="str">
        <f>'MANO DE OBRA'!$B$2</f>
        <v>Oficial</v>
      </c>
      <c r="E392" s="461"/>
      <c r="F392" s="97" t="str">
        <f>'MANO DE OBRA'!$C$3</f>
        <v>DIA</v>
      </c>
      <c r="G392" s="76">
        <v>1</v>
      </c>
      <c r="H392" s="101">
        <f>'MANO DE OBRA'!$D$2</f>
        <v>47982</v>
      </c>
      <c r="I392" s="102">
        <v>0.75649999999999995</v>
      </c>
      <c r="J392" s="103">
        <f>(H392+(H392*I392))</f>
        <v>84280.383000000002</v>
      </c>
      <c r="K392" s="76">
        <v>3</v>
      </c>
      <c r="L392" s="96">
        <f>G392*(J392/K392)</f>
        <v>28093.460999999999</v>
      </c>
    </row>
    <row r="393" spans="3:12" x14ac:dyDescent="0.25">
      <c r="C393" s="90"/>
      <c r="D393" s="493"/>
      <c r="E393" s="493"/>
      <c r="F393" s="97"/>
      <c r="G393" s="76"/>
      <c r="H393" s="101"/>
      <c r="I393" s="102"/>
      <c r="J393" s="103"/>
      <c r="K393" s="76"/>
      <c r="L393" s="96"/>
    </row>
    <row r="394" spans="3:12" ht="13.5" thickBot="1" x14ac:dyDescent="0.3">
      <c r="C394" s="83"/>
      <c r="D394" s="485" t="s">
        <v>520</v>
      </c>
      <c r="E394" s="485"/>
      <c r="F394" s="485"/>
      <c r="G394" s="485"/>
      <c r="H394" s="485"/>
      <c r="I394" s="485"/>
      <c r="J394" s="485"/>
      <c r="K394" s="485"/>
      <c r="L394" s="98">
        <f>L392+L391</f>
        <v>78999.940004999997</v>
      </c>
    </row>
    <row r="395" spans="3:12" ht="13.5" thickBot="1" x14ac:dyDescent="0.3">
      <c r="C395" s="486"/>
      <c r="D395" s="487"/>
      <c r="E395" s="487"/>
      <c r="F395" s="487"/>
      <c r="G395" s="487"/>
      <c r="H395" s="487"/>
      <c r="I395" s="487"/>
      <c r="J395" s="487"/>
      <c r="K395" s="487"/>
      <c r="L395" s="488"/>
    </row>
    <row r="396" spans="3:12" ht="13.5" thickBot="1" x14ac:dyDescent="0.3">
      <c r="C396" s="489" t="s">
        <v>521</v>
      </c>
      <c r="D396" s="490"/>
      <c r="E396" s="490"/>
      <c r="F396" s="490"/>
      <c r="G396" s="490"/>
      <c r="H396" s="490"/>
      <c r="I396" s="490"/>
      <c r="J396" s="491"/>
      <c r="K396" s="145">
        <f>ROUND(L394+L387+L380+L373,0)</f>
        <v>86900</v>
      </c>
      <c r="L396" s="146"/>
    </row>
    <row r="398" spans="3:12" ht="13.5" thickBot="1" x14ac:dyDescent="0.3"/>
    <row r="399" spans="3:12" x14ac:dyDescent="0.25">
      <c r="C399" s="466" t="s">
        <v>495</v>
      </c>
      <c r="D399" s="467"/>
      <c r="E399" s="467"/>
      <c r="F399" s="467"/>
      <c r="G399" s="467"/>
      <c r="H399" s="467"/>
      <c r="I399" s="467"/>
      <c r="J399" s="467"/>
      <c r="K399" s="467"/>
      <c r="L399" s="468"/>
    </row>
    <row r="400" spans="3:12" ht="12.75" customHeight="1" x14ac:dyDescent="0.25">
      <c r="C400" s="469" t="str">
        <f>+PPTO!$A$2</f>
        <v>REPOSICION E INSTALACION VALVULAS DE SECTORIZACION EN DIFERENTES SECTORES DEL MUNICIPIO DE PIEDECUESTA - SANTANDER.</v>
      </c>
      <c r="D400" s="470"/>
      <c r="E400" s="470"/>
      <c r="F400" s="470"/>
      <c r="G400" s="470"/>
      <c r="H400" s="470"/>
      <c r="I400" s="470"/>
      <c r="J400" s="470"/>
      <c r="K400" s="470"/>
      <c r="L400" s="471"/>
    </row>
    <row r="401" spans="3:12" x14ac:dyDescent="0.25">
      <c r="C401" s="472" t="s">
        <v>496</v>
      </c>
      <c r="D401" s="141">
        <f>+PROYECCION!A55</f>
        <v>6</v>
      </c>
      <c r="E401" s="474" t="str">
        <f>+PROYECCION!B55</f>
        <v>ITEMS NO PREVISTOS</v>
      </c>
      <c r="F401" s="475"/>
      <c r="G401" s="475"/>
      <c r="H401" s="475"/>
      <c r="I401" s="475"/>
      <c r="J401" s="475"/>
      <c r="K401" s="475"/>
      <c r="L401" s="70" t="s">
        <v>52</v>
      </c>
    </row>
    <row r="402" spans="3:12" ht="13.5" thickBot="1" x14ac:dyDescent="0.3">
      <c r="C402" s="473"/>
      <c r="D402" s="120">
        <f>+PROYECCION!A57</f>
        <v>6.02</v>
      </c>
      <c r="E402" s="476" t="str">
        <f>+PROYECCION!B57</f>
        <v>Desmonte de válvula  D=2" en HD JH</v>
      </c>
      <c r="F402" s="476"/>
      <c r="G402" s="476"/>
      <c r="H402" s="476"/>
      <c r="I402" s="476"/>
      <c r="J402" s="476"/>
      <c r="K402" s="476"/>
      <c r="L402" s="71" t="str">
        <f>+PROYECCION!C57</f>
        <v>UND</v>
      </c>
    </row>
    <row r="403" spans="3:12" ht="13.5" thickBot="1" x14ac:dyDescent="0.3">
      <c r="C403" s="477"/>
      <c r="D403" s="478"/>
      <c r="E403" s="478"/>
      <c r="F403" s="478"/>
      <c r="G403" s="478"/>
      <c r="H403" s="478"/>
      <c r="I403" s="478"/>
      <c r="J403" s="478"/>
      <c r="K403" s="478"/>
      <c r="L403" s="479"/>
    </row>
    <row r="404" spans="3:12" x14ac:dyDescent="0.25">
      <c r="C404" s="466" t="s">
        <v>497</v>
      </c>
      <c r="D404" s="467"/>
      <c r="E404" s="467"/>
      <c r="F404" s="467"/>
      <c r="G404" s="467"/>
      <c r="H404" s="467"/>
      <c r="I404" s="467"/>
      <c r="J404" s="467"/>
      <c r="K404" s="467"/>
      <c r="L404" s="468"/>
    </row>
    <row r="405" spans="3:12" x14ac:dyDescent="0.25">
      <c r="C405" s="72" t="s">
        <v>66</v>
      </c>
      <c r="D405" s="492" t="s">
        <v>498</v>
      </c>
      <c r="E405" s="492"/>
      <c r="F405" s="492"/>
      <c r="G405" s="492"/>
      <c r="H405" s="492"/>
      <c r="I405" s="73" t="s">
        <v>499</v>
      </c>
      <c r="J405" s="74" t="s">
        <v>500</v>
      </c>
      <c r="K405" s="73" t="s">
        <v>501</v>
      </c>
      <c r="L405" s="70" t="s">
        <v>502</v>
      </c>
    </row>
    <row r="406" spans="3:12" x14ac:dyDescent="0.25">
      <c r="C406" s="75"/>
      <c r="D406" s="460"/>
      <c r="E406" s="499"/>
      <c r="F406" s="499"/>
      <c r="G406" s="499"/>
      <c r="H406" s="461"/>
      <c r="I406" s="76"/>
      <c r="J406" s="76"/>
      <c r="K406" s="77"/>
      <c r="L406" s="78"/>
    </row>
    <row r="407" spans="3:12" x14ac:dyDescent="0.25">
      <c r="C407" s="75"/>
      <c r="D407" s="493"/>
      <c r="E407" s="493"/>
      <c r="F407" s="493"/>
      <c r="G407" s="493"/>
      <c r="H407" s="493"/>
      <c r="I407" s="76"/>
      <c r="J407" s="80"/>
      <c r="K407" s="81"/>
      <c r="L407" s="78"/>
    </row>
    <row r="408" spans="3:12" x14ac:dyDescent="0.25">
      <c r="C408" s="79"/>
      <c r="D408" s="493" t="s">
        <v>503</v>
      </c>
      <c r="E408" s="493"/>
      <c r="F408" s="493"/>
      <c r="G408" s="493"/>
      <c r="H408" s="493"/>
      <c r="I408" s="76" t="s">
        <v>61</v>
      </c>
      <c r="J408" s="80">
        <v>1</v>
      </c>
      <c r="K408" s="81">
        <f>L430*0.1</f>
        <v>3721.8668202000003</v>
      </c>
      <c r="L408" s="82">
        <f>K408/J408</f>
        <v>3721.8668202000003</v>
      </c>
    </row>
    <row r="409" spans="3:12" ht="13.5" thickBot="1" x14ac:dyDescent="0.3">
      <c r="C409" s="83"/>
      <c r="D409" s="485" t="s">
        <v>504</v>
      </c>
      <c r="E409" s="485"/>
      <c r="F409" s="485"/>
      <c r="G409" s="485"/>
      <c r="H409" s="485"/>
      <c r="I409" s="485"/>
      <c r="J409" s="485"/>
      <c r="K409" s="485"/>
      <c r="L409" s="84">
        <f>SUM(L406:L408)</f>
        <v>3721.8668202000003</v>
      </c>
    </row>
    <row r="410" spans="3:12" ht="13.5" thickBot="1" x14ac:dyDescent="0.3">
      <c r="C410" s="477"/>
      <c r="D410" s="478"/>
      <c r="E410" s="478"/>
      <c r="F410" s="478"/>
      <c r="G410" s="478"/>
      <c r="H410" s="478"/>
      <c r="I410" s="478"/>
      <c r="J410" s="478"/>
      <c r="K410" s="478"/>
      <c r="L410" s="479"/>
    </row>
    <row r="411" spans="3:12" x14ac:dyDescent="0.25">
      <c r="C411" s="466" t="s">
        <v>505</v>
      </c>
      <c r="D411" s="467"/>
      <c r="E411" s="467"/>
      <c r="F411" s="467"/>
      <c r="G411" s="467"/>
      <c r="H411" s="467"/>
      <c r="I411" s="467"/>
      <c r="J411" s="467"/>
      <c r="K411" s="467"/>
      <c r="L411" s="468"/>
    </row>
    <row r="412" spans="3:12" ht="25.5" x14ac:dyDescent="0.25">
      <c r="C412" s="72" t="s">
        <v>66</v>
      </c>
      <c r="D412" s="492" t="s">
        <v>498</v>
      </c>
      <c r="E412" s="492"/>
      <c r="F412" s="492"/>
      <c r="G412" s="492"/>
      <c r="H412" s="73" t="s">
        <v>499</v>
      </c>
      <c r="I412" s="74" t="s">
        <v>506</v>
      </c>
      <c r="J412" s="73" t="s">
        <v>501</v>
      </c>
      <c r="K412" s="85" t="s">
        <v>507</v>
      </c>
      <c r="L412" s="70" t="s">
        <v>502</v>
      </c>
    </row>
    <row r="413" spans="3:12" x14ac:dyDescent="0.25">
      <c r="C413" s="72"/>
      <c r="D413" s="498"/>
      <c r="E413" s="496"/>
      <c r="F413" s="496"/>
      <c r="G413" s="497"/>
      <c r="H413" s="73"/>
      <c r="I413" s="76"/>
      <c r="J413" s="86"/>
      <c r="K413" s="87">
        <v>0</v>
      </c>
      <c r="L413" s="88">
        <f>I413*J413*(1+K413)</f>
        <v>0</v>
      </c>
    </row>
    <row r="414" spans="3:12" x14ac:dyDescent="0.25">
      <c r="C414" s="72"/>
      <c r="D414" s="460"/>
      <c r="E414" s="499"/>
      <c r="F414" s="499"/>
      <c r="G414" s="461"/>
      <c r="H414" s="73"/>
      <c r="I414" s="76"/>
      <c r="J414" s="86"/>
      <c r="K414" s="87"/>
      <c r="L414" s="88"/>
    </row>
    <row r="415" spans="3:12" x14ac:dyDescent="0.25">
      <c r="C415" s="90"/>
      <c r="D415" s="500"/>
      <c r="E415" s="500"/>
      <c r="F415" s="500"/>
      <c r="G415" s="500"/>
      <c r="H415" s="97"/>
      <c r="I415" s="91"/>
      <c r="J415" s="92"/>
      <c r="K415" s="93"/>
      <c r="L415" s="82"/>
    </row>
    <row r="416" spans="3:12" ht="13.5" thickBot="1" x14ac:dyDescent="0.3">
      <c r="C416" s="94"/>
      <c r="D416" s="485" t="s">
        <v>508</v>
      </c>
      <c r="E416" s="485"/>
      <c r="F416" s="485"/>
      <c r="G416" s="485"/>
      <c r="H416" s="485"/>
      <c r="I416" s="485"/>
      <c r="J416" s="485"/>
      <c r="K416" s="485"/>
      <c r="L416" s="84">
        <f>SUM(L413:L415)</f>
        <v>0</v>
      </c>
    </row>
    <row r="417" spans="3:15" ht="13.5" thickBot="1" x14ac:dyDescent="0.3">
      <c r="C417" s="486"/>
      <c r="D417" s="487"/>
      <c r="E417" s="487"/>
      <c r="F417" s="487"/>
      <c r="G417" s="487"/>
      <c r="H417" s="487"/>
      <c r="I417" s="487"/>
      <c r="J417" s="487"/>
      <c r="K417" s="487"/>
      <c r="L417" s="488"/>
    </row>
    <row r="418" spans="3:15" x14ac:dyDescent="0.25">
      <c r="C418" s="466" t="s">
        <v>509</v>
      </c>
      <c r="D418" s="467"/>
      <c r="E418" s="467"/>
      <c r="F418" s="467"/>
      <c r="G418" s="467"/>
      <c r="H418" s="467"/>
      <c r="I418" s="467"/>
      <c r="J418" s="467"/>
      <c r="K418" s="467"/>
      <c r="L418" s="468"/>
    </row>
    <row r="419" spans="3:15" x14ac:dyDescent="0.25">
      <c r="C419" s="72" t="s">
        <v>66</v>
      </c>
      <c r="D419" s="492" t="s">
        <v>498</v>
      </c>
      <c r="E419" s="492"/>
      <c r="F419" s="492"/>
      <c r="G419" s="492"/>
      <c r="H419" s="73" t="s">
        <v>506</v>
      </c>
      <c r="I419" s="73" t="s">
        <v>499</v>
      </c>
      <c r="J419" s="74" t="s">
        <v>510</v>
      </c>
      <c r="K419" s="85" t="s">
        <v>511</v>
      </c>
      <c r="L419" s="70" t="s">
        <v>502</v>
      </c>
    </row>
    <row r="420" spans="3:15" x14ac:dyDescent="0.25">
      <c r="C420" s="90"/>
      <c r="D420" s="494"/>
      <c r="E420" s="494"/>
      <c r="F420" s="494"/>
      <c r="G420" s="494"/>
      <c r="H420" s="76"/>
      <c r="I420" s="97"/>
      <c r="J420" s="97"/>
      <c r="K420" s="95"/>
      <c r="L420" s="96"/>
      <c r="O420" s="119">
        <f>432900-(L430+L409)</f>
        <v>391959.46497780003</v>
      </c>
    </row>
    <row r="421" spans="3:15" x14ac:dyDescent="0.25">
      <c r="C421" s="90"/>
      <c r="D421" s="495"/>
      <c r="E421" s="495"/>
      <c r="F421" s="495"/>
      <c r="G421" s="495"/>
      <c r="H421" s="76"/>
      <c r="I421" s="97"/>
      <c r="J421" s="97"/>
      <c r="K421" s="95"/>
      <c r="L421" s="96"/>
    </row>
    <row r="422" spans="3:15" x14ac:dyDescent="0.25">
      <c r="C422" s="90"/>
      <c r="D422" s="495"/>
      <c r="E422" s="495"/>
      <c r="F422" s="495"/>
      <c r="G422" s="495"/>
      <c r="H422" s="76"/>
      <c r="I422" s="97"/>
      <c r="J422" s="97"/>
      <c r="K422" s="95"/>
      <c r="L422" s="96"/>
    </row>
    <row r="423" spans="3:15" ht="13.5" thickBot="1" x14ac:dyDescent="0.3">
      <c r="C423" s="83"/>
      <c r="D423" s="485" t="s">
        <v>512</v>
      </c>
      <c r="E423" s="485"/>
      <c r="F423" s="485"/>
      <c r="G423" s="485"/>
      <c r="H423" s="485"/>
      <c r="I423" s="485"/>
      <c r="J423" s="485"/>
      <c r="K423" s="485"/>
      <c r="L423" s="98">
        <f>L420</f>
        <v>0</v>
      </c>
    </row>
    <row r="424" spans="3:15" ht="13.5" thickBot="1" x14ac:dyDescent="0.3">
      <c r="C424" s="477"/>
      <c r="D424" s="478"/>
      <c r="E424" s="478"/>
      <c r="F424" s="478"/>
      <c r="G424" s="478"/>
      <c r="H424" s="478"/>
      <c r="I424" s="478"/>
      <c r="J424" s="478"/>
      <c r="K424" s="478"/>
      <c r="L424" s="479"/>
    </row>
    <row r="425" spans="3:15" x14ac:dyDescent="0.25">
      <c r="C425" s="466" t="s">
        <v>513</v>
      </c>
      <c r="D425" s="467"/>
      <c r="E425" s="467"/>
      <c r="F425" s="467"/>
      <c r="G425" s="467"/>
      <c r="H425" s="467"/>
      <c r="I425" s="467"/>
      <c r="J425" s="467"/>
      <c r="K425" s="467"/>
      <c r="L425" s="468"/>
    </row>
    <row r="426" spans="3:15" x14ac:dyDescent="0.25">
      <c r="C426" s="72" t="s">
        <v>66</v>
      </c>
      <c r="D426" s="492" t="s">
        <v>498</v>
      </c>
      <c r="E426" s="492"/>
      <c r="F426" s="85" t="s">
        <v>499</v>
      </c>
      <c r="G426" s="85" t="s">
        <v>506</v>
      </c>
      <c r="H426" s="73" t="s">
        <v>514</v>
      </c>
      <c r="I426" s="99" t="s">
        <v>515</v>
      </c>
      <c r="J426" s="85" t="s">
        <v>516</v>
      </c>
      <c r="K426" s="99" t="s">
        <v>517</v>
      </c>
      <c r="L426" s="100" t="s">
        <v>502</v>
      </c>
    </row>
    <row r="427" spans="3:15" x14ac:dyDescent="0.25">
      <c r="C427" s="79" t="s">
        <v>519</v>
      </c>
      <c r="D427" s="460" t="str">
        <f>'MANO DE OBRA'!$B$3</f>
        <v>Ayudante</v>
      </c>
      <c r="E427" s="461"/>
      <c r="F427" s="97" t="str">
        <f>'MANO DE OBRA'!$C$2</f>
        <v>DIA</v>
      </c>
      <c r="G427" s="76">
        <v>2</v>
      </c>
      <c r="H427" s="101">
        <f>'MANO DE OBRA'!$D$3</f>
        <v>28981.77</v>
      </c>
      <c r="I427" s="102">
        <v>0.75649999999999995</v>
      </c>
      <c r="J427" s="103">
        <f>(H427+(H427*I427))</f>
        <v>50906.479005000001</v>
      </c>
      <c r="K427" s="76">
        <v>5</v>
      </c>
      <c r="L427" s="96">
        <f>G427*(J427/K427)</f>
        <v>20362.591602</v>
      </c>
    </row>
    <row r="428" spans="3:15" x14ac:dyDescent="0.25">
      <c r="C428" s="79" t="s">
        <v>526</v>
      </c>
      <c r="D428" s="460" t="str">
        <f>'MANO DE OBRA'!$B$2</f>
        <v>Oficial</v>
      </c>
      <c r="E428" s="461"/>
      <c r="F428" s="97" t="str">
        <f>'MANO DE OBRA'!$C$3</f>
        <v>DIA</v>
      </c>
      <c r="G428" s="76">
        <v>1</v>
      </c>
      <c r="H428" s="101">
        <f>'MANO DE OBRA'!$D$2</f>
        <v>47982</v>
      </c>
      <c r="I428" s="102">
        <v>0.75649999999999995</v>
      </c>
      <c r="J428" s="103">
        <f>(H428+(H428*I428))</f>
        <v>84280.383000000002</v>
      </c>
      <c r="K428" s="76">
        <v>5</v>
      </c>
      <c r="L428" s="96">
        <f>G428*(J428/K428)</f>
        <v>16856.0766</v>
      </c>
    </row>
    <row r="429" spans="3:15" x14ac:dyDescent="0.25">
      <c r="C429" s="90"/>
      <c r="D429" s="493"/>
      <c r="E429" s="493"/>
      <c r="F429" s="97"/>
      <c r="G429" s="76"/>
      <c r="H429" s="101"/>
      <c r="I429" s="102"/>
      <c r="J429" s="103"/>
      <c r="K429" s="76"/>
      <c r="L429" s="96"/>
    </row>
    <row r="430" spans="3:15" ht="13.5" thickBot="1" x14ac:dyDescent="0.3">
      <c r="C430" s="83"/>
      <c r="D430" s="485" t="s">
        <v>520</v>
      </c>
      <c r="E430" s="485"/>
      <c r="F430" s="485"/>
      <c r="G430" s="485"/>
      <c r="H430" s="485"/>
      <c r="I430" s="485"/>
      <c r="J430" s="485"/>
      <c r="K430" s="485"/>
      <c r="L430" s="98">
        <f>L428+L427</f>
        <v>37218.668202000001</v>
      </c>
    </row>
    <row r="431" spans="3:15" ht="13.5" thickBot="1" x14ac:dyDescent="0.3">
      <c r="C431" s="486"/>
      <c r="D431" s="487"/>
      <c r="E431" s="487"/>
      <c r="F431" s="487"/>
      <c r="G431" s="487"/>
      <c r="H431" s="487"/>
      <c r="I431" s="487"/>
      <c r="J431" s="487"/>
      <c r="K431" s="487"/>
      <c r="L431" s="488"/>
    </row>
    <row r="432" spans="3:15" ht="13.5" thickBot="1" x14ac:dyDescent="0.3">
      <c r="C432" s="489" t="s">
        <v>521</v>
      </c>
      <c r="D432" s="490"/>
      <c r="E432" s="490"/>
      <c r="F432" s="490"/>
      <c r="G432" s="490"/>
      <c r="H432" s="490"/>
      <c r="I432" s="490"/>
      <c r="J432" s="491"/>
      <c r="K432" s="145">
        <f>ROUND(L430+L423+L416+L409,0)</f>
        <v>40941</v>
      </c>
      <c r="L432" s="146"/>
    </row>
    <row r="434" spans="3:12" ht="13.5" thickBot="1" x14ac:dyDescent="0.3"/>
    <row r="435" spans="3:12" x14ac:dyDescent="0.25">
      <c r="C435" s="466" t="s">
        <v>495</v>
      </c>
      <c r="D435" s="467"/>
      <c r="E435" s="467"/>
      <c r="F435" s="467"/>
      <c r="G435" s="467"/>
      <c r="H435" s="467"/>
      <c r="I435" s="467"/>
      <c r="J435" s="467"/>
      <c r="K435" s="467"/>
      <c r="L435" s="468"/>
    </row>
    <row r="436" spans="3:12" ht="12.75" customHeight="1" x14ac:dyDescent="0.25">
      <c r="C436" s="469" t="str">
        <f>+PPTO!$A$2</f>
        <v>REPOSICION E INSTALACION VALVULAS DE SECTORIZACION EN DIFERENTES SECTORES DEL MUNICIPIO DE PIEDECUESTA - SANTANDER.</v>
      </c>
      <c r="D436" s="470"/>
      <c r="E436" s="470"/>
      <c r="F436" s="470"/>
      <c r="G436" s="470"/>
      <c r="H436" s="470"/>
      <c r="I436" s="470"/>
      <c r="J436" s="470"/>
      <c r="K436" s="470"/>
      <c r="L436" s="471"/>
    </row>
    <row r="437" spans="3:12" x14ac:dyDescent="0.25">
      <c r="C437" s="472" t="s">
        <v>496</v>
      </c>
      <c r="D437" s="141">
        <f>+PROYECCION!A55</f>
        <v>6</v>
      </c>
      <c r="E437" s="474" t="str">
        <f>+PROYECCION!B55</f>
        <v>ITEMS NO PREVISTOS</v>
      </c>
      <c r="F437" s="475"/>
      <c r="G437" s="475"/>
      <c r="H437" s="475"/>
      <c r="I437" s="475"/>
      <c r="J437" s="475"/>
      <c r="K437" s="475"/>
      <c r="L437" s="70" t="s">
        <v>52</v>
      </c>
    </row>
    <row r="438" spans="3:12" ht="13.5" thickBot="1" x14ac:dyDescent="0.3">
      <c r="C438" s="473"/>
      <c r="D438" s="120">
        <f>+PROYECCION!A58</f>
        <v>6.03</v>
      </c>
      <c r="E438" s="476" t="str">
        <f>+PROYECCION!B58</f>
        <v>Desmonte de válvula  D=3" en HD JH</v>
      </c>
      <c r="F438" s="476"/>
      <c r="G438" s="476"/>
      <c r="H438" s="476"/>
      <c r="I438" s="476"/>
      <c r="J438" s="476"/>
      <c r="K438" s="476"/>
      <c r="L438" s="71" t="str">
        <f>+PROYECCION!C58</f>
        <v>UND</v>
      </c>
    </row>
    <row r="439" spans="3:12" ht="13.5" thickBot="1" x14ac:dyDescent="0.3">
      <c r="C439" s="477"/>
      <c r="D439" s="478"/>
      <c r="E439" s="478"/>
      <c r="F439" s="478"/>
      <c r="G439" s="478"/>
      <c r="H439" s="478"/>
      <c r="I439" s="478"/>
      <c r="J439" s="478"/>
      <c r="K439" s="478"/>
      <c r="L439" s="479"/>
    </row>
    <row r="440" spans="3:12" x14ac:dyDescent="0.25">
      <c r="C440" s="466" t="s">
        <v>497</v>
      </c>
      <c r="D440" s="467"/>
      <c r="E440" s="467"/>
      <c r="F440" s="467"/>
      <c r="G440" s="467"/>
      <c r="H440" s="467"/>
      <c r="I440" s="467"/>
      <c r="J440" s="467"/>
      <c r="K440" s="467"/>
      <c r="L440" s="468"/>
    </row>
    <row r="441" spans="3:12" x14ac:dyDescent="0.25">
      <c r="C441" s="72" t="s">
        <v>66</v>
      </c>
      <c r="D441" s="492" t="s">
        <v>498</v>
      </c>
      <c r="E441" s="492"/>
      <c r="F441" s="492"/>
      <c r="G441" s="492"/>
      <c r="H441" s="492"/>
      <c r="I441" s="73" t="s">
        <v>499</v>
      </c>
      <c r="J441" s="74" t="s">
        <v>500</v>
      </c>
      <c r="K441" s="73" t="s">
        <v>501</v>
      </c>
      <c r="L441" s="70" t="s">
        <v>502</v>
      </c>
    </row>
    <row r="442" spans="3:12" x14ac:dyDescent="0.25">
      <c r="C442" s="75"/>
      <c r="D442" s="460"/>
      <c r="E442" s="499"/>
      <c r="F442" s="499"/>
      <c r="G442" s="499"/>
      <c r="H442" s="461"/>
      <c r="I442" s="76"/>
      <c r="J442" s="76"/>
      <c r="K442" s="77"/>
      <c r="L442" s="78"/>
    </row>
    <row r="443" spans="3:12" x14ac:dyDescent="0.25">
      <c r="C443" s="75"/>
      <c r="D443" s="493"/>
      <c r="E443" s="493"/>
      <c r="F443" s="493"/>
      <c r="G443" s="493"/>
      <c r="H443" s="493"/>
      <c r="I443" s="76"/>
      <c r="J443" s="80"/>
      <c r="K443" s="81"/>
      <c r="L443" s="78"/>
    </row>
    <row r="444" spans="3:12" x14ac:dyDescent="0.25">
      <c r="C444" s="79"/>
      <c r="D444" s="493" t="s">
        <v>503</v>
      </c>
      <c r="E444" s="493"/>
      <c r="F444" s="493"/>
      <c r="G444" s="493"/>
      <c r="H444" s="493"/>
      <c r="I444" s="76" t="s">
        <v>61</v>
      </c>
      <c r="J444" s="80">
        <v>1</v>
      </c>
      <c r="K444" s="81">
        <f>L466*0.1</f>
        <v>5924.9955003750001</v>
      </c>
      <c r="L444" s="82">
        <f>K444/J444</f>
        <v>5924.9955003750001</v>
      </c>
    </row>
    <row r="445" spans="3:12" ht="13.5" thickBot="1" x14ac:dyDescent="0.3">
      <c r="C445" s="83"/>
      <c r="D445" s="485" t="s">
        <v>504</v>
      </c>
      <c r="E445" s="485"/>
      <c r="F445" s="485"/>
      <c r="G445" s="485"/>
      <c r="H445" s="485"/>
      <c r="I445" s="485"/>
      <c r="J445" s="485"/>
      <c r="K445" s="485"/>
      <c r="L445" s="84">
        <f>SUM(L442:L444)</f>
        <v>5924.9955003750001</v>
      </c>
    </row>
    <row r="446" spans="3:12" ht="13.5" thickBot="1" x14ac:dyDescent="0.3">
      <c r="C446" s="477"/>
      <c r="D446" s="478"/>
      <c r="E446" s="478"/>
      <c r="F446" s="478"/>
      <c r="G446" s="478"/>
      <c r="H446" s="478"/>
      <c r="I446" s="478"/>
      <c r="J446" s="478"/>
      <c r="K446" s="478"/>
      <c r="L446" s="479"/>
    </row>
    <row r="447" spans="3:12" x14ac:dyDescent="0.25">
      <c r="C447" s="466" t="s">
        <v>505</v>
      </c>
      <c r="D447" s="467"/>
      <c r="E447" s="467"/>
      <c r="F447" s="467"/>
      <c r="G447" s="467"/>
      <c r="H447" s="467"/>
      <c r="I447" s="467"/>
      <c r="J447" s="467"/>
      <c r="K447" s="467"/>
      <c r="L447" s="468"/>
    </row>
    <row r="448" spans="3:12" ht="25.5" x14ac:dyDescent="0.25">
      <c r="C448" s="72" t="s">
        <v>66</v>
      </c>
      <c r="D448" s="492" t="s">
        <v>498</v>
      </c>
      <c r="E448" s="492"/>
      <c r="F448" s="492"/>
      <c r="G448" s="492"/>
      <c r="H448" s="73" t="s">
        <v>499</v>
      </c>
      <c r="I448" s="74" t="s">
        <v>506</v>
      </c>
      <c r="J448" s="73" t="s">
        <v>501</v>
      </c>
      <c r="K448" s="85" t="s">
        <v>507</v>
      </c>
      <c r="L448" s="70" t="s">
        <v>502</v>
      </c>
    </row>
    <row r="449" spans="3:15" x14ac:dyDescent="0.25">
      <c r="C449" s="72"/>
      <c r="D449" s="498"/>
      <c r="E449" s="496"/>
      <c r="F449" s="496"/>
      <c r="G449" s="497"/>
      <c r="H449" s="73"/>
      <c r="I449" s="76"/>
      <c r="J449" s="86"/>
      <c r="K449" s="87">
        <v>0</v>
      </c>
      <c r="L449" s="88">
        <f>I449*J449*(1+K449)</f>
        <v>0</v>
      </c>
    </row>
    <row r="450" spans="3:15" x14ac:dyDescent="0.25">
      <c r="C450" s="72"/>
      <c r="D450" s="460"/>
      <c r="E450" s="499"/>
      <c r="F450" s="499"/>
      <c r="G450" s="461"/>
      <c r="H450" s="73"/>
      <c r="I450" s="76"/>
      <c r="J450" s="86"/>
      <c r="K450" s="87"/>
      <c r="L450" s="88"/>
    </row>
    <row r="451" spans="3:15" x14ac:dyDescent="0.25">
      <c r="C451" s="90"/>
      <c r="D451" s="500"/>
      <c r="E451" s="500"/>
      <c r="F451" s="500"/>
      <c r="G451" s="500"/>
      <c r="H451" s="97"/>
      <c r="I451" s="91"/>
      <c r="J451" s="92"/>
      <c r="K451" s="93"/>
      <c r="L451" s="82"/>
    </row>
    <row r="452" spans="3:15" ht="13.5" thickBot="1" x14ac:dyDescent="0.3">
      <c r="C452" s="94"/>
      <c r="D452" s="485" t="s">
        <v>508</v>
      </c>
      <c r="E452" s="485"/>
      <c r="F452" s="485"/>
      <c r="G452" s="485"/>
      <c r="H452" s="485"/>
      <c r="I452" s="485"/>
      <c r="J452" s="485"/>
      <c r="K452" s="485"/>
      <c r="L452" s="84">
        <f>SUM(L449:L451)</f>
        <v>0</v>
      </c>
    </row>
    <row r="453" spans="3:15" ht="13.5" thickBot="1" x14ac:dyDescent="0.3">
      <c r="C453" s="486"/>
      <c r="D453" s="487"/>
      <c r="E453" s="487"/>
      <c r="F453" s="487"/>
      <c r="G453" s="487"/>
      <c r="H453" s="487"/>
      <c r="I453" s="487"/>
      <c r="J453" s="487"/>
      <c r="K453" s="487"/>
      <c r="L453" s="488"/>
    </row>
    <row r="454" spans="3:15" x14ac:dyDescent="0.25">
      <c r="C454" s="466" t="s">
        <v>509</v>
      </c>
      <c r="D454" s="467"/>
      <c r="E454" s="467"/>
      <c r="F454" s="467"/>
      <c r="G454" s="467"/>
      <c r="H454" s="467"/>
      <c r="I454" s="467"/>
      <c r="J454" s="467"/>
      <c r="K454" s="467"/>
      <c r="L454" s="468"/>
    </row>
    <row r="455" spans="3:15" x14ac:dyDescent="0.25">
      <c r="C455" s="72" t="s">
        <v>66</v>
      </c>
      <c r="D455" s="492" t="s">
        <v>498</v>
      </c>
      <c r="E455" s="492"/>
      <c r="F455" s="492"/>
      <c r="G455" s="492"/>
      <c r="H455" s="73" t="s">
        <v>506</v>
      </c>
      <c r="I455" s="73" t="s">
        <v>499</v>
      </c>
      <c r="J455" s="74" t="s">
        <v>510</v>
      </c>
      <c r="K455" s="85" t="s">
        <v>511</v>
      </c>
      <c r="L455" s="70" t="s">
        <v>502</v>
      </c>
    </row>
    <row r="456" spans="3:15" x14ac:dyDescent="0.25">
      <c r="C456" s="90"/>
      <c r="D456" s="494"/>
      <c r="E456" s="494"/>
      <c r="F456" s="494"/>
      <c r="G456" s="494"/>
      <c r="H456" s="76"/>
      <c r="I456" s="97"/>
      <c r="J456" s="97"/>
      <c r="K456" s="95"/>
      <c r="L456" s="96"/>
      <c r="O456" s="119">
        <f>618400-(L466+L445)</f>
        <v>553225.04949587502</v>
      </c>
    </row>
    <row r="457" spans="3:15" x14ac:dyDescent="0.25">
      <c r="C457" s="90"/>
      <c r="D457" s="495"/>
      <c r="E457" s="495"/>
      <c r="F457" s="495"/>
      <c r="G457" s="495"/>
      <c r="H457" s="76"/>
      <c r="I457" s="97"/>
      <c r="J457" s="97"/>
      <c r="K457" s="95"/>
      <c r="L457" s="96"/>
    </row>
    <row r="458" spans="3:15" x14ac:dyDescent="0.25">
      <c r="C458" s="90"/>
      <c r="D458" s="495"/>
      <c r="E458" s="495"/>
      <c r="F458" s="495"/>
      <c r="G458" s="495"/>
      <c r="H458" s="76"/>
      <c r="I458" s="97"/>
      <c r="J458" s="97"/>
      <c r="K458" s="95"/>
      <c r="L458" s="96"/>
    </row>
    <row r="459" spans="3:15" ht="13.5" thickBot="1" x14ac:dyDescent="0.3">
      <c r="C459" s="83"/>
      <c r="D459" s="485" t="s">
        <v>512</v>
      </c>
      <c r="E459" s="485"/>
      <c r="F459" s="485"/>
      <c r="G459" s="485"/>
      <c r="H459" s="485"/>
      <c r="I459" s="485"/>
      <c r="J459" s="485"/>
      <c r="K459" s="485"/>
      <c r="L459" s="98">
        <f>L456</f>
        <v>0</v>
      </c>
    </row>
    <row r="460" spans="3:15" ht="13.5" thickBot="1" x14ac:dyDescent="0.3">
      <c r="C460" s="477"/>
      <c r="D460" s="478"/>
      <c r="E460" s="478"/>
      <c r="F460" s="478"/>
      <c r="G460" s="478"/>
      <c r="H460" s="478"/>
      <c r="I460" s="478"/>
      <c r="J460" s="478"/>
      <c r="K460" s="478"/>
      <c r="L460" s="479"/>
    </row>
    <row r="461" spans="3:15" x14ac:dyDescent="0.25">
      <c r="C461" s="466" t="s">
        <v>513</v>
      </c>
      <c r="D461" s="467"/>
      <c r="E461" s="467"/>
      <c r="F461" s="467"/>
      <c r="G461" s="467"/>
      <c r="H461" s="467"/>
      <c r="I461" s="467"/>
      <c r="J461" s="467"/>
      <c r="K461" s="467"/>
      <c r="L461" s="468"/>
    </row>
    <row r="462" spans="3:15" x14ac:dyDescent="0.25">
      <c r="C462" s="72" t="s">
        <v>66</v>
      </c>
      <c r="D462" s="492" t="s">
        <v>498</v>
      </c>
      <c r="E462" s="492"/>
      <c r="F462" s="85" t="s">
        <v>499</v>
      </c>
      <c r="G462" s="85" t="s">
        <v>506</v>
      </c>
      <c r="H462" s="73" t="s">
        <v>514</v>
      </c>
      <c r="I462" s="99" t="s">
        <v>515</v>
      </c>
      <c r="J462" s="85" t="s">
        <v>516</v>
      </c>
      <c r="K462" s="99" t="s">
        <v>517</v>
      </c>
      <c r="L462" s="100" t="s">
        <v>502</v>
      </c>
    </row>
    <row r="463" spans="3:15" x14ac:dyDescent="0.25">
      <c r="C463" s="79" t="s">
        <v>519</v>
      </c>
      <c r="D463" s="460" t="str">
        <f>'MANO DE OBRA'!$B$3</f>
        <v>Ayudante</v>
      </c>
      <c r="E463" s="461"/>
      <c r="F463" s="97" t="str">
        <f>'MANO DE OBRA'!$C$2</f>
        <v>DIA</v>
      </c>
      <c r="G463" s="76">
        <v>3</v>
      </c>
      <c r="H463" s="101">
        <f>'MANO DE OBRA'!$D$3</f>
        <v>28981.77</v>
      </c>
      <c r="I463" s="102">
        <v>0.75649999999999995</v>
      </c>
      <c r="J463" s="103">
        <f>(H463+(H463*I463))</f>
        <v>50906.479005000001</v>
      </c>
      <c r="K463" s="76">
        <v>4</v>
      </c>
      <c r="L463" s="96">
        <f>G463*(J463/K463)</f>
        <v>38179.859253750001</v>
      </c>
    </row>
    <row r="464" spans="3:15" x14ac:dyDescent="0.25">
      <c r="C464" s="79" t="s">
        <v>526</v>
      </c>
      <c r="D464" s="460" t="str">
        <f>'MANO DE OBRA'!$B$2</f>
        <v>Oficial</v>
      </c>
      <c r="E464" s="461"/>
      <c r="F464" s="97" t="str">
        <f>'MANO DE OBRA'!$C$3</f>
        <v>DIA</v>
      </c>
      <c r="G464" s="76">
        <v>1</v>
      </c>
      <c r="H464" s="101">
        <f>'MANO DE OBRA'!$D$2</f>
        <v>47982</v>
      </c>
      <c r="I464" s="102">
        <v>0.75649999999999995</v>
      </c>
      <c r="J464" s="103">
        <f>(H464+(H464*I464))</f>
        <v>84280.383000000002</v>
      </c>
      <c r="K464" s="76">
        <v>4</v>
      </c>
      <c r="L464" s="96">
        <f>G464*(J464/K464)</f>
        <v>21070.09575</v>
      </c>
    </row>
    <row r="465" spans="3:12" x14ac:dyDescent="0.25">
      <c r="C465" s="90"/>
      <c r="D465" s="493"/>
      <c r="E465" s="493"/>
      <c r="F465" s="97"/>
      <c r="G465" s="76"/>
      <c r="H465" s="101"/>
      <c r="I465" s="102"/>
      <c r="J465" s="103"/>
      <c r="K465" s="76"/>
      <c r="L465" s="96"/>
    </row>
    <row r="466" spans="3:12" ht="13.5" thickBot="1" x14ac:dyDescent="0.3">
      <c r="C466" s="83"/>
      <c r="D466" s="485" t="s">
        <v>520</v>
      </c>
      <c r="E466" s="485"/>
      <c r="F466" s="485"/>
      <c r="G466" s="485"/>
      <c r="H466" s="485"/>
      <c r="I466" s="485"/>
      <c r="J466" s="485"/>
      <c r="K466" s="485"/>
      <c r="L466" s="98">
        <f>L464+L463</f>
        <v>59249.955003750001</v>
      </c>
    </row>
    <row r="467" spans="3:12" ht="13.5" thickBot="1" x14ac:dyDescent="0.3">
      <c r="C467" s="486"/>
      <c r="D467" s="487"/>
      <c r="E467" s="487"/>
      <c r="F467" s="487"/>
      <c r="G467" s="487"/>
      <c r="H467" s="487"/>
      <c r="I467" s="487"/>
      <c r="J467" s="487"/>
      <c r="K467" s="487"/>
      <c r="L467" s="488"/>
    </row>
    <row r="468" spans="3:12" ht="13.5" thickBot="1" x14ac:dyDescent="0.3">
      <c r="C468" s="489" t="s">
        <v>521</v>
      </c>
      <c r="D468" s="490"/>
      <c r="E468" s="490"/>
      <c r="F468" s="490"/>
      <c r="G468" s="490"/>
      <c r="H468" s="490"/>
      <c r="I468" s="490"/>
      <c r="J468" s="491"/>
      <c r="K468" s="145">
        <f>ROUND(L466+L459+L452+L445,0)</f>
        <v>65175</v>
      </c>
      <c r="L468" s="146"/>
    </row>
    <row r="470" spans="3:12" ht="13.5" thickBot="1" x14ac:dyDescent="0.3"/>
    <row r="471" spans="3:12" x14ac:dyDescent="0.25">
      <c r="C471" s="466" t="s">
        <v>495</v>
      </c>
      <c r="D471" s="467"/>
      <c r="E471" s="467"/>
      <c r="F471" s="467"/>
      <c r="G471" s="467"/>
      <c r="H471" s="467"/>
      <c r="I471" s="467"/>
      <c r="J471" s="467"/>
      <c r="K471" s="467"/>
      <c r="L471" s="468"/>
    </row>
    <row r="472" spans="3:12" ht="12.75" customHeight="1" x14ac:dyDescent="0.25">
      <c r="C472" s="469" t="str">
        <f>+PPTO!$A$2</f>
        <v>REPOSICION E INSTALACION VALVULAS DE SECTORIZACION EN DIFERENTES SECTORES DEL MUNICIPIO DE PIEDECUESTA - SANTANDER.</v>
      </c>
      <c r="D472" s="470"/>
      <c r="E472" s="470"/>
      <c r="F472" s="470"/>
      <c r="G472" s="470"/>
      <c r="H472" s="470"/>
      <c r="I472" s="470"/>
      <c r="J472" s="470"/>
      <c r="K472" s="470"/>
      <c r="L472" s="471"/>
    </row>
    <row r="473" spans="3:12" x14ac:dyDescent="0.25">
      <c r="C473" s="472" t="s">
        <v>496</v>
      </c>
      <c r="D473" s="141">
        <f>+PROYECCION!A55</f>
        <v>6</v>
      </c>
      <c r="E473" s="474" t="str">
        <f>+PROYECCION!B55</f>
        <v>ITEMS NO PREVISTOS</v>
      </c>
      <c r="F473" s="475"/>
      <c r="G473" s="475"/>
      <c r="H473" s="475"/>
      <c r="I473" s="475"/>
      <c r="J473" s="475"/>
      <c r="K473" s="475"/>
      <c r="L473" s="70" t="s">
        <v>52</v>
      </c>
    </row>
    <row r="474" spans="3:12" ht="13.5" thickBot="1" x14ac:dyDescent="0.3">
      <c r="C474" s="473"/>
      <c r="D474" s="120">
        <f>+PROYECCION!A59</f>
        <v>6.04</v>
      </c>
      <c r="E474" s="476" t="str">
        <f>+PROYECCION!B59</f>
        <v>Desmonte de válvula  D=6" en HD JH</v>
      </c>
      <c r="F474" s="476"/>
      <c r="G474" s="476"/>
      <c r="H474" s="476"/>
      <c r="I474" s="476"/>
      <c r="J474" s="476"/>
      <c r="K474" s="476"/>
      <c r="L474" s="71" t="str">
        <f>+PROYECCION!C59</f>
        <v>UND</v>
      </c>
    </row>
    <row r="475" spans="3:12" ht="13.5" thickBot="1" x14ac:dyDescent="0.3">
      <c r="C475" s="477"/>
      <c r="D475" s="478"/>
      <c r="E475" s="478"/>
      <c r="F475" s="478"/>
      <c r="G475" s="478"/>
      <c r="H475" s="478"/>
      <c r="I475" s="478"/>
      <c r="J475" s="478"/>
      <c r="K475" s="478"/>
      <c r="L475" s="479"/>
    </row>
    <row r="476" spans="3:12" x14ac:dyDescent="0.25">
      <c r="C476" s="466" t="s">
        <v>497</v>
      </c>
      <c r="D476" s="467"/>
      <c r="E476" s="467"/>
      <c r="F476" s="467"/>
      <c r="G476" s="467"/>
      <c r="H476" s="467"/>
      <c r="I476" s="467"/>
      <c r="J476" s="467"/>
      <c r="K476" s="467"/>
      <c r="L476" s="468"/>
    </row>
    <row r="477" spans="3:12" x14ac:dyDescent="0.25">
      <c r="C477" s="72" t="s">
        <v>66</v>
      </c>
      <c r="D477" s="492" t="s">
        <v>498</v>
      </c>
      <c r="E477" s="492"/>
      <c r="F477" s="492"/>
      <c r="G477" s="492"/>
      <c r="H477" s="492"/>
      <c r="I477" s="73" t="s">
        <v>499</v>
      </c>
      <c r="J477" s="74" t="s">
        <v>500</v>
      </c>
      <c r="K477" s="73" t="s">
        <v>501</v>
      </c>
      <c r="L477" s="70" t="s">
        <v>502</v>
      </c>
    </row>
    <row r="478" spans="3:12" x14ac:dyDescent="0.25">
      <c r="C478" s="75"/>
      <c r="D478" s="460"/>
      <c r="E478" s="499"/>
      <c r="F478" s="499"/>
      <c r="G478" s="499"/>
      <c r="H478" s="461"/>
      <c r="I478" s="76"/>
      <c r="J478" s="76"/>
      <c r="K478" s="77"/>
      <c r="L478" s="78"/>
    </row>
    <row r="479" spans="3:12" x14ac:dyDescent="0.25">
      <c r="C479" s="75"/>
      <c r="D479" s="493"/>
      <c r="E479" s="493"/>
      <c r="F479" s="493"/>
      <c r="G479" s="493"/>
      <c r="H479" s="493"/>
      <c r="I479" s="76"/>
      <c r="J479" s="80"/>
      <c r="K479" s="81"/>
      <c r="L479" s="78"/>
    </row>
    <row r="480" spans="3:12" x14ac:dyDescent="0.25">
      <c r="C480" s="79"/>
      <c r="D480" s="493" t="s">
        <v>503</v>
      </c>
      <c r="E480" s="493"/>
      <c r="F480" s="493"/>
      <c r="G480" s="493"/>
      <c r="H480" s="493"/>
      <c r="I480" s="76" t="s">
        <v>61</v>
      </c>
      <c r="J480" s="80">
        <v>1</v>
      </c>
      <c r="K480" s="81">
        <f>L500*0.1</f>
        <v>14395.314951000002</v>
      </c>
      <c r="L480" s="82">
        <f>K480/J480</f>
        <v>14395.314951000002</v>
      </c>
    </row>
    <row r="481" spans="3:15" ht="13.5" thickBot="1" x14ac:dyDescent="0.3">
      <c r="C481" s="83"/>
      <c r="D481" s="485" t="s">
        <v>504</v>
      </c>
      <c r="E481" s="485"/>
      <c r="F481" s="485"/>
      <c r="G481" s="485"/>
      <c r="H481" s="485"/>
      <c r="I481" s="485"/>
      <c r="J481" s="485"/>
      <c r="K481" s="485"/>
      <c r="L481" s="84">
        <f>SUM(L478:L480)</f>
        <v>14395.314951000002</v>
      </c>
    </row>
    <row r="482" spans="3:15" ht="13.5" thickBot="1" x14ac:dyDescent="0.3">
      <c r="C482" s="477"/>
      <c r="D482" s="478"/>
      <c r="E482" s="478"/>
      <c r="F482" s="478"/>
      <c r="G482" s="478"/>
      <c r="H482" s="478"/>
      <c r="I482" s="478"/>
      <c r="J482" s="478"/>
      <c r="K482" s="478"/>
      <c r="L482" s="479"/>
    </row>
    <row r="483" spans="3:15" x14ac:dyDescent="0.25">
      <c r="C483" s="466" t="s">
        <v>505</v>
      </c>
      <c r="D483" s="467"/>
      <c r="E483" s="467"/>
      <c r="F483" s="467"/>
      <c r="G483" s="467"/>
      <c r="H483" s="467"/>
      <c r="I483" s="467"/>
      <c r="J483" s="467"/>
      <c r="K483" s="467"/>
      <c r="L483" s="468"/>
    </row>
    <row r="484" spans="3:15" ht="25.5" x14ac:dyDescent="0.25">
      <c r="C484" s="72" t="s">
        <v>66</v>
      </c>
      <c r="D484" s="492" t="s">
        <v>498</v>
      </c>
      <c r="E484" s="492"/>
      <c r="F484" s="492"/>
      <c r="G484" s="492"/>
      <c r="H484" s="73" t="s">
        <v>499</v>
      </c>
      <c r="I484" s="74" t="s">
        <v>506</v>
      </c>
      <c r="J484" s="73" t="s">
        <v>501</v>
      </c>
      <c r="K484" s="85" t="s">
        <v>507</v>
      </c>
      <c r="L484" s="70" t="s">
        <v>502</v>
      </c>
    </row>
    <row r="485" spans="3:15" x14ac:dyDescent="0.25">
      <c r="C485" s="72"/>
      <c r="D485" s="498"/>
      <c r="E485" s="496"/>
      <c r="F485" s="496"/>
      <c r="G485" s="497"/>
      <c r="H485" s="73"/>
      <c r="I485" s="76"/>
      <c r="J485" s="86"/>
      <c r="K485" s="87">
        <v>0</v>
      </c>
      <c r="L485" s="88">
        <f>I485*J485*(1+K485)</f>
        <v>0</v>
      </c>
    </row>
    <row r="486" spans="3:15" x14ac:dyDescent="0.25">
      <c r="C486" s="90"/>
      <c r="D486" s="500"/>
      <c r="E486" s="500"/>
      <c r="F486" s="500"/>
      <c r="G486" s="500"/>
      <c r="H486" s="97"/>
      <c r="I486" s="91"/>
      <c r="J486" s="92"/>
      <c r="K486" s="93"/>
      <c r="L486" s="82"/>
    </row>
    <row r="487" spans="3:15" ht="13.5" thickBot="1" x14ac:dyDescent="0.3">
      <c r="C487" s="94"/>
      <c r="D487" s="485" t="s">
        <v>508</v>
      </c>
      <c r="E487" s="485"/>
      <c r="F487" s="485"/>
      <c r="G487" s="485"/>
      <c r="H487" s="485"/>
      <c r="I487" s="485"/>
      <c r="J487" s="485"/>
      <c r="K487" s="485"/>
      <c r="L487" s="84">
        <f>SUM(L485:L486)</f>
        <v>0</v>
      </c>
    </row>
    <row r="488" spans="3:15" ht="13.5" thickBot="1" x14ac:dyDescent="0.3">
      <c r="C488" s="486"/>
      <c r="D488" s="487"/>
      <c r="E488" s="487"/>
      <c r="F488" s="487"/>
      <c r="G488" s="487"/>
      <c r="H488" s="487"/>
      <c r="I488" s="487"/>
      <c r="J488" s="487"/>
      <c r="K488" s="487"/>
      <c r="L488" s="488"/>
    </row>
    <row r="489" spans="3:15" x14ac:dyDescent="0.25">
      <c r="C489" s="466" t="s">
        <v>509</v>
      </c>
      <c r="D489" s="467"/>
      <c r="E489" s="467"/>
      <c r="F489" s="467"/>
      <c r="G489" s="467"/>
      <c r="H489" s="467"/>
      <c r="I489" s="467"/>
      <c r="J489" s="467"/>
      <c r="K489" s="467"/>
      <c r="L489" s="468"/>
    </row>
    <row r="490" spans="3:15" x14ac:dyDescent="0.25">
      <c r="C490" s="72" t="s">
        <v>66</v>
      </c>
      <c r="D490" s="492" t="s">
        <v>498</v>
      </c>
      <c r="E490" s="492"/>
      <c r="F490" s="492"/>
      <c r="G490" s="492"/>
      <c r="H490" s="73" t="s">
        <v>506</v>
      </c>
      <c r="I490" s="73" t="s">
        <v>499</v>
      </c>
      <c r="J490" s="74" t="s">
        <v>510</v>
      </c>
      <c r="K490" s="85" t="s">
        <v>511</v>
      </c>
      <c r="L490" s="70" t="s">
        <v>502</v>
      </c>
    </row>
    <row r="491" spans="3:15" x14ac:dyDescent="0.25">
      <c r="C491" s="90"/>
      <c r="D491" s="494"/>
      <c r="E491" s="494"/>
      <c r="F491" s="494"/>
      <c r="G491" s="494"/>
      <c r="H491" s="76"/>
      <c r="I491" s="97"/>
      <c r="J491" s="97"/>
      <c r="K491" s="95"/>
      <c r="L491" s="96"/>
      <c r="O491" s="119">
        <f>1584700-(L500+L481)</f>
        <v>1426351.5355390001</v>
      </c>
    </row>
    <row r="492" spans="3:15" x14ac:dyDescent="0.25">
      <c r="C492" s="90"/>
      <c r="D492" s="495"/>
      <c r="E492" s="495"/>
      <c r="F492" s="495"/>
      <c r="G492" s="495"/>
      <c r="H492" s="76"/>
      <c r="I492" s="97"/>
      <c r="J492" s="97"/>
      <c r="K492" s="95"/>
      <c r="L492" s="96"/>
    </row>
    <row r="493" spans="3:15" ht="13.5" thickBot="1" x14ac:dyDescent="0.3">
      <c r="C493" s="83"/>
      <c r="D493" s="485" t="s">
        <v>512</v>
      </c>
      <c r="E493" s="485"/>
      <c r="F493" s="485"/>
      <c r="G493" s="485"/>
      <c r="H493" s="485"/>
      <c r="I493" s="485"/>
      <c r="J493" s="485"/>
      <c r="K493" s="485"/>
      <c r="L493" s="98">
        <f>L491</f>
        <v>0</v>
      </c>
    </row>
    <row r="494" spans="3:15" ht="13.5" thickBot="1" x14ac:dyDescent="0.3">
      <c r="C494" s="477"/>
      <c r="D494" s="478"/>
      <c r="E494" s="478"/>
      <c r="F494" s="478"/>
      <c r="G494" s="478"/>
      <c r="H494" s="478"/>
      <c r="I494" s="478"/>
      <c r="J494" s="478"/>
      <c r="K494" s="478"/>
      <c r="L494" s="479"/>
    </row>
    <row r="495" spans="3:15" x14ac:dyDescent="0.25">
      <c r="C495" s="466" t="s">
        <v>513</v>
      </c>
      <c r="D495" s="467"/>
      <c r="E495" s="467"/>
      <c r="F495" s="467"/>
      <c r="G495" s="467"/>
      <c r="H495" s="467"/>
      <c r="I495" s="467"/>
      <c r="J495" s="467"/>
      <c r="K495" s="467"/>
      <c r="L495" s="468"/>
    </row>
    <row r="496" spans="3:15" x14ac:dyDescent="0.25">
      <c r="C496" s="72" t="s">
        <v>66</v>
      </c>
      <c r="D496" s="492" t="s">
        <v>498</v>
      </c>
      <c r="E496" s="492"/>
      <c r="F496" s="85" t="s">
        <v>499</v>
      </c>
      <c r="G496" s="85" t="s">
        <v>506</v>
      </c>
      <c r="H496" s="73" t="s">
        <v>514</v>
      </c>
      <c r="I496" s="99" t="s">
        <v>515</v>
      </c>
      <c r="J496" s="85" t="s">
        <v>516</v>
      </c>
      <c r="K496" s="99" t="s">
        <v>517</v>
      </c>
      <c r="L496" s="100" t="s">
        <v>502</v>
      </c>
    </row>
    <row r="497" spans="3:12" x14ac:dyDescent="0.25">
      <c r="C497" s="79" t="s">
        <v>519</v>
      </c>
      <c r="D497" s="460" t="str">
        <f>'MANO DE OBRA'!$B$3</f>
        <v>Ayudante</v>
      </c>
      <c r="E497" s="461"/>
      <c r="F497" s="97" t="str">
        <f>'MANO DE OBRA'!$C$2</f>
        <v>DIA</v>
      </c>
      <c r="G497" s="76">
        <v>4</v>
      </c>
      <c r="H497" s="101">
        <f>'MANO DE OBRA'!$D$3</f>
        <v>28981.77</v>
      </c>
      <c r="I497" s="102">
        <v>0.75649999999999995</v>
      </c>
      <c r="J497" s="103">
        <f>(H497+(H497*I497))</f>
        <v>50906.479005000001</v>
      </c>
      <c r="K497" s="76">
        <v>2</v>
      </c>
      <c r="L497" s="96">
        <f>G497*(J497/K497)</f>
        <v>101812.95801</v>
      </c>
    </row>
    <row r="498" spans="3:12" x14ac:dyDescent="0.25">
      <c r="C498" s="79" t="s">
        <v>526</v>
      </c>
      <c r="D498" s="460" t="str">
        <f>'MANO DE OBRA'!$B$2</f>
        <v>Oficial</v>
      </c>
      <c r="E498" s="461"/>
      <c r="F498" s="97" t="str">
        <f>'MANO DE OBRA'!$C$3</f>
        <v>DIA</v>
      </c>
      <c r="G498" s="76">
        <v>1</v>
      </c>
      <c r="H498" s="101">
        <f>'MANO DE OBRA'!$D$2</f>
        <v>47982</v>
      </c>
      <c r="I498" s="102">
        <v>0.75649999999999995</v>
      </c>
      <c r="J498" s="103">
        <f>(H498+(H498*I498))</f>
        <v>84280.383000000002</v>
      </c>
      <c r="K498" s="76">
        <v>2</v>
      </c>
      <c r="L498" s="96">
        <f>G498*(J498/K498)</f>
        <v>42140.191500000001</v>
      </c>
    </row>
    <row r="499" spans="3:12" x14ac:dyDescent="0.25">
      <c r="C499" s="90"/>
      <c r="D499" s="493"/>
      <c r="E499" s="493"/>
      <c r="F499" s="97"/>
      <c r="G499" s="76"/>
      <c r="H499" s="101"/>
      <c r="I499" s="102"/>
      <c r="J499" s="103"/>
      <c r="K499" s="76"/>
      <c r="L499" s="96"/>
    </row>
    <row r="500" spans="3:12" ht="13.5" thickBot="1" x14ac:dyDescent="0.3">
      <c r="C500" s="83"/>
      <c r="D500" s="485" t="s">
        <v>520</v>
      </c>
      <c r="E500" s="485"/>
      <c r="F500" s="485"/>
      <c r="G500" s="485"/>
      <c r="H500" s="485"/>
      <c r="I500" s="485"/>
      <c r="J500" s="485"/>
      <c r="K500" s="485"/>
      <c r="L500" s="98">
        <f>L498+L497</f>
        <v>143953.14951000002</v>
      </c>
    </row>
    <row r="501" spans="3:12" ht="13.5" thickBot="1" x14ac:dyDescent="0.3">
      <c r="C501" s="486"/>
      <c r="D501" s="487"/>
      <c r="E501" s="487"/>
      <c r="F501" s="487"/>
      <c r="G501" s="487"/>
      <c r="H501" s="487"/>
      <c r="I501" s="487"/>
      <c r="J501" s="487"/>
      <c r="K501" s="487"/>
      <c r="L501" s="488"/>
    </row>
    <row r="502" spans="3:12" ht="13.5" thickBot="1" x14ac:dyDescent="0.3">
      <c r="C502" s="489" t="s">
        <v>521</v>
      </c>
      <c r="D502" s="490"/>
      <c r="E502" s="490"/>
      <c r="F502" s="490"/>
      <c r="G502" s="490"/>
      <c r="H502" s="490"/>
      <c r="I502" s="490"/>
      <c r="J502" s="491"/>
      <c r="K502" s="145">
        <f>ROUND(L500+L493+L487+L481,0)</f>
        <v>158348</v>
      </c>
      <c r="L502" s="146"/>
    </row>
    <row r="504" spans="3:12" ht="13.5" thickBot="1" x14ac:dyDescent="0.3"/>
    <row r="505" spans="3:12" x14ac:dyDescent="0.25">
      <c r="C505" s="466" t="s">
        <v>495</v>
      </c>
      <c r="D505" s="467"/>
      <c r="E505" s="467"/>
      <c r="F505" s="467"/>
      <c r="G505" s="467"/>
      <c r="H505" s="467"/>
      <c r="I505" s="467"/>
      <c r="J505" s="467"/>
      <c r="K505" s="467"/>
      <c r="L505" s="468"/>
    </row>
    <row r="506" spans="3:12" ht="12.75" customHeight="1" x14ac:dyDescent="0.25">
      <c r="C506" s="469" t="str">
        <f>+PPTO!$A$2</f>
        <v>REPOSICION E INSTALACION VALVULAS DE SECTORIZACION EN DIFERENTES SECTORES DEL MUNICIPIO DE PIEDECUESTA - SANTANDER.</v>
      </c>
      <c r="D506" s="470"/>
      <c r="E506" s="470"/>
      <c r="F506" s="470"/>
      <c r="G506" s="470"/>
      <c r="H506" s="470"/>
      <c r="I506" s="470"/>
      <c r="J506" s="470"/>
      <c r="K506" s="470"/>
      <c r="L506" s="471"/>
    </row>
    <row r="507" spans="3:12" x14ac:dyDescent="0.25">
      <c r="C507" s="472" t="s">
        <v>496</v>
      </c>
      <c r="D507" s="141">
        <f>+PROYECCION!A55</f>
        <v>6</v>
      </c>
      <c r="E507" s="474" t="str">
        <f>+PROYECCION!B55</f>
        <v>ITEMS NO PREVISTOS</v>
      </c>
      <c r="F507" s="475"/>
      <c r="G507" s="475"/>
      <c r="H507" s="475"/>
      <c r="I507" s="475"/>
      <c r="J507" s="475"/>
      <c r="K507" s="475"/>
      <c r="L507" s="70" t="s">
        <v>52</v>
      </c>
    </row>
    <row r="508" spans="3:12" ht="13.5" thickBot="1" x14ac:dyDescent="0.3">
      <c r="C508" s="473"/>
      <c r="D508" s="120">
        <f>+PROYECCION!A60</f>
        <v>6.05</v>
      </c>
      <c r="E508" s="476" t="str">
        <f>+PROYECCION!B60</f>
        <v>Desmonte de válvula  D=8" en HD JH</v>
      </c>
      <c r="F508" s="476"/>
      <c r="G508" s="476"/>
      <c r="H508" s="476"/>
      <c r="I508" s="476"/>
      <c r="J508" s="476"/>
      <c r="K508" s="476"/>
      <c r="L508" s="71" t="str">
        <f>+PROYECCION!C60</f>
        <v>UND</v>
      </c>
    </row>
    <row r="509" spans="3:12" ht="13.5" thickBot="1" x14ac:dyDescent="0.3">
      <c r="C509" s="477"/>
      <c r="D509" s="478"/>
      <c r="E509" s="478"/>
      <c r="F509" s="478"/>
      <c r="G509" s="478"/>
      <c r="H509" s="478"/>
      <c r="I509" s="478"/>
      <c r="J509" s="478"/>
      <c r="K509" s="478"/>
      <c r="L509" s="479"/>
    </row>
    <row r="510" spans="3:12" x14ac:dyDescent="0.25">
      <c r="C510" s="466" t="s">
        <v>497</v>
      </c>
      <c r="D510" s="467"/>
      <c r="E510" s="467"/>
      <c r="F510" s="467"/>
      <c r="G510" s="467"/>
      <c r="H510" s="467"/>
      <c r="I510" s="467"/>
      <c r="J510" s="467"/>
      <c r="K510" s="467"/>
      <c r="L510" s="468"/>
    </row>
    <row r="511" spans="3:12" x14ac:dyDescent="0.25">
      <c r="C511" s="72" t="s">
        <v>66</v>
      </c>
      <c r="D511" s="492" t="s">
        <v>498</v>
      </c>
      <c r="E511" s="492"/>
      <c r="F511" s="492"/>
      <c r="G511" s="492"/>
      <c r="H511" s="492"/>
      <c r="I511" s="73" t="s">
        <v>499</v>
      </c>
      <c r="J511" s="74" t="s">
        <v>500</v>
      </c>
      <c r="K511" s="73" t="s">
        <v>501</v>
      </c>
      <c r="L511" s="70" t="s">
        <v>502</v>
      </c>
    </row>
    <row r="512" spans="3:12" x14ac:dyDescent="0.25">
      <c r="C512" s="75"/>
      <c r="D512" s="460"/>
      <c r="E512" s="499"/>
      <c r="F512" s="499"/>
      <c r="G512" s="499"/>
      <c r="H512" s="461"/>
      <c r="I512" s="76"/>
      <c r="J512" s="76"/>
      <c r="K512" s="77"/>
      <c r="L512" s="78"/>
    </row>
    <row r="513" spans="3:15" x14ac:dyDescent="0.25">
      <c r="C513" s="147" t="s">
        <v>12</v>
      </c>
      <c r="D513" s="493" t="str">
        <f>+EQUIPO!$B$7</f>
        <v>Diferencial</v>
      </c>
      <c r="E513" s="493"/>
      <c r="F513" s="493"/>
      <c r="G513" s="493"/>
      <c r="H513" s="493"/>
      <c r="I513" s="76" t="str">
        <f>+EQUIPO!$C$7</f>
        <v>día</v>
      </c>
      <c r="J513" s="80">
        <v>1</v>
      </c>
      <c r="K513" s="81">
        <f>+EQUIPO!$D$7</f>
        <v>50000</v>
      </c>
      <c r="L513" s="78">
        <f>+K513*J513</f>
        <v>50000</v>
      </c>
    </row>
    <row r="514" spans="3:15" x14ac:dyDescent="0.25">
      <c r="C514" s="79"/>
      <c r="D514" s="493" t="s">
        <v>503</v>
      </c>
      <c r="E514" s="493"/>
      <c r="F514" s="493"/>
      <c r="G514" s="493"/>
      <c r="H514" s="493"/>
      <c r="I514" s="76" t="s">
        <v>61</v>
      </c>
      <c r="J514" s="80">
        <v>1</v>
      </c>
      <c r="K514" s="81">
        <f>L534*0.1</f>
        <v>19193.753268</v>
      </c>
      <c r="L514" s="82">
        <f>K514/J514</f>
        <v>19193.753268</v>
      </c>
    </row>
    <row r="515" spans="3:15" ht="13.5" thickBot="1" x14ac:dyDescent="0.3">
      <c r="C515" s="83"/>
      <c r="D515" s="485" t="s">
        <v>504</v>
      </c>
      <c r="E515" s="485"/>
      <c r="F515" s="485"/>
      <c r="G515" s="485"/>
      <c r="H515" s="485"/>
      <c r="I515" s="485"/>
      <c r="J515" s="485"/>
      <c r="K515" s="485"/>
      <c r="L515" s="84">
        <f>SUM(L512:L514)</f>
        <v>69193.753268</v>
      </c>
    </row>
    <row r="516" spans="3:15" ht="13.5" thickBot="1" x14ac:dyDescent="0.3">
      <c r="C516" s="477"/>
      <c r="D516" s="478"/>
      <c r="E516" s="478"/>
      <c r="F516" s="478"/>
      <c r="G516" s="478"/>
      <c r="H516" s="478"/>
      <c r="I516" s="478"/>
      <c r="J516" s="478"/>
      <c r="K516" s="478"/>
      <c r="L516" s="479"/>
    </row>
    <row r="517" spans="3:15" x14ac:dyDescent="0.25">
      <c r="C517" s="466" t="s">
        <v>505</v>
      </c>
      <c r="D517" s="467"/>
      <c r="E517" s="467"/>
      <c r="F517" s="467"/>
      <c r="G517" s="467"/>
      <c r="H517" s="467"/>
      <c r="I517" s="467"/>
      <c r="J517" s="467"/>
      <c r="K517" s="467"/>
      <c r="L517" s="468"/>
    </row>
    <row r="518" spans="3:15" ht="25.5" x14ac:dyDescent="0.25">
      <c r="C518" s="72" t="s">
        <v>66</v>
      </c>
      <c r="D518" s="492" t="s">
        <v>498</v>
      </c>
      <c r="E518" s="492"/>
      <c r="F518" s="492"/>
      <c r="G518" s="492"/>
      <c r="H518" s="73" t="s">
        <v>499</v>
      </c>
      <c r="I518" s="74" t="s">
        <v>506</v>
      </c>
      <c r="J518" s="73" t="s">
        <v>501</v>
      </c>
      <c r="K518" s="85" t="s">
        <v>507</v>
      </c>
      <c r="L518" s="70" t="s">
        <v>502</v>
      </c>
    </row>
    <row r="519" spans="3:15" x14ac:dyDescent="0.25">
      <c r="C519" s="72"/>
      <c r="D519" s="498"/>
      <c r="E519" s="496"/>
      <c r="F519" s="496"/>
      <c r="G519" s="497"/>
      <c r="H519" s="73"/>
      <c r="I519" s="76"/>
      <c r="J519" s="86"/>
      <c r="K519" s="87">
        <v>0</v>
      </c>
      <c r="L519" s="88">
        <f>I519*J519*(1+K519)</f>
        <v>0</v>
      </c>
    </row>
    <row r="520" spans="3:15" x14ac:dyDescent="0.25">
      <c r="C520" s="90"/>
      <c r="D520" s="500"/>
      <c r="E520" s="500"/>
      <c r="F520" s="500"/>
      <c r="G520" s="500"/>
      <c r="H520" s="97"/>
      <c r="I520" s="91"/>
      <c r="J520" s="92"/>
      <c r="K520" s="93"/>
      <c r="L520" s="82"/>
    </row>
    <row r="521" spans="3:15" ht="13.5" thickBot="1" x14ac:dyDescent="0.3">
      <c r="C521" s="94"/>
      <c r="D521" s="485" t="s">
        <v>508</v>
      </c>
      <c r="E521" s="485"/>
      <c r="F521" s="485"/>
      <c r="G521" s="485"/>
      <c r="H521" s="485"/>
      <c r="I521" s="485"/>
      <c r="J521" s="485"/>
      <c r="K521" s="485"/>
      <c r="L521" s="84">
        <f>SUM(L519:L520)</f>
        <v>0</v>
      </c>
    </row>
    <row r="522" spans="3:15" ht="13.5" thickBot="1" x14ac:dyDescent="0.3">
      <c r="C522" s="486"/>
      <c r="D522" s="487"/>
      <c r="E522" s="487"/>
      <c r="F522" s="487"/>
      <c r="G522" s="487"/>
      <c r="H522" s="487"/>
      <c r="I522" s="487"/>
      <c r="J522" s="487"/>
      <c r="K522" s="487"/>
      <c r="L522" s="488"/>
    </row>
    <row r="523" spans="3:15" x14ac:dyDescent="0.25">
      <c r="C523" s="466" t="s">
        <v>509</v>
      </c>
      <c r="D523" s="467"/>
      <c r="E523" s="467"/>
      <c r="F523" s="467"/>
      <c r="G523" s="467"/>
      <c r="H523" s="467"/>
      <c r="I523" s="467"/>
      <c r="J523" s="467"/>
      <c r="K523" s="467"/>
      <c r="L523" s="468"/>
    </row>
    <row r="524" spans="3:15" x14ac:dyDescent="0.25">
      <c r="C524" s="72" t="s">
        <v>66</v>
      </c>
      <c r="D524" s="492" t="s">
        <v>498</v>
      </c>
      <c r="E524" s="492"/>
      <c r="F524" s="492"/>
      <c r="G524" s="492"/>
      <c r="H524" s="73" t="s">
        <v>506</v>
      </c>
      <c r="I524" s="73" t="s">
        <v>499</v>
      </c>
      <c r="J524" s="74" t="s">
        <v>510</v>
      </c>
      <c r="K524" s="85" t="s">
        <v>511</v>
      </c>
      <c r="L524" s="70" t="s">
        <v>502</v>
      </c>
    </row>
    <row r="525" spans="3:15" x14ac:dyDescent="0.25">
      <c r="C525" s="90"/>
      <c r="D525" s="494"/>
      <c r="E525" s="494"/>
      <c r="F525" s="494"/>
      <c r="G525" s="494"/>
      <c r="H525" s="76"/>
      <c r="I525" s="97"/>
      <c r="J525" s="97"/>
      <c r="K525" s="95"/>
      <c r="L525" s="96"/>
      <c r="O525" s="119">
        <f>2319100-(L534+L515)</f>
        <v>2057968.7140520001</v>
      </c>
    </row>
    <row r="526" spans="3:15" x14ac:dyDescent="0.25">
      <c r="C526" s="90"/>
      <c r="D526" s="495"/>
      <c r="E526" s="495"/>
      <c r="F526" s="495"/>
      <c r="G526" s="495"/>
      <c r="H526" s="76"/>
      <c r="I526" s="97"/>
      <c r="J526" s="97"/>
      <c r="K526" s="95"/>
      <c r="L526" s="96"/>
    </row>
    <row r="527" spans="3:15" ht="13.5" thickBot="1" x14ac:dyDescent="0.3">
      <c r="C527" s="83"/>
      <c r="D527" s="485" t="s">
        <v>512</v>
      </c>
      <c r="E527" s="485"/>
      <c r="F527" s="485"/>
      <c r="G527" s="485"/>
      <c r="H527" s="485"/>
      <c r="I527" s="485"/>
      <c r="J527" s="485"/>
      <c r="K527" s="485"/>
      <c r="L527" s="98">
        <f>L525</f>
        <v>0</v>
      </c>
    </row>
    <row r="528" spans="3:15" ht="13.5" thickBot="1" x14ac:dyDescent="0.3">
      <c r="C528" s="477"/>
      <c r="D528" s="478"/>
      <c r="E528" s="478"/>
      <c r="F528" s="478"/>
      <c r="G528" s="478"/>
      <c r="H528" s="478"/>
      <c r="I528" s="478"/>
      <c r="J528" s="478"/>
      <c r="K528" s="478"/>
      <c r="L528" s="479"/>
    </row>
    <row r="529" spans="3:12" x14ac:dyDescent="0.25">
      <c r="C529" s="466" t="s">
        <v>513</v>
      </c>
      <c r="D529" s="467"/>
      <c r="E529" s="467"/>
      <c r="F529" s="467"/>
      <c r="G529" s="467"/>
      <c r="H529" s="467"/>
      <c r="I529" s="467"/>
      <c r="J529" s="467"/>
      <c r="K529" s="467"/>
      <c r="L529" s="468"/>
    </row>
    <row r="530" spans="3:12" x14ac:dyDescent="0.25">
      <c r="C530" s="72" t="s">
        <v>66</v>
      </c>
      <c r="D530" s="492" t="s">
        <v>498</v>
      </c>
      <c r="E530" s="492"/>
      <c r="F530" s="85" t="s">
        <v>499</v>
      </c>
      <c r="G530" s="85" t="s">
        <v>506</v>
      </c>
      <c r="H530" s="73" t="s">
        <v>514</v>
      </c>
      <c r="I530" s="99" t="s">
        <v>515</v>
      </c>
      <c r="J530" s="85" t="s">
        <v>516</v>
      </c>
      <c r="K530" s="99" t="s">
        <v>517</v>
      </c>
      <c r="L530" s="100" t="s">
        <v>502</v>
      </c>
    </row>
    <row r="531" spans="3:12" x14ac:dyDescent="0.25">
      <c r="C531" s="79" t="s">
        <v>519</v>
      </c>
      <c r="D531" s="460" t="str">
        <f>'MANO DE OBRA'!$B$3</f>
        <v>Ayudante</v>
      </c>
      <c r="E531" s="461"/>
      <c r="F531" s="97" t="str">
        <f>'MANO DE OBRA'!$C$2</f>
        <v>DIA</v>
      </c>
      <c r="G531" s="76">
        <v>4</v>
      </c>
      <c r="H531" s="101">
        <f>'MANO DE OBRA'!$D$3</f>
        <v>28981.77</v>
      </c>
      <c r="I531" s="102">
        <v>0.75649999999999995</v>
      </c>
      <c r="J531" s="103">
        <f>(H531+(H531*I531))</f>
        <v>50906.479005000001</v>
      </c>
      <c r="K531" s="76">
        <v>1.5</v>
      </c>
      <c r="L531" s="96">
        <f>G531*(J531/K531)</f>
        <v>135750.61068000001</v>
      </c>
    </row>
    <row r="532" spans="3:12" x14ac:dyDescent="0.25">
      <c r="C532" s="79" t="s">
        <v>526</v>
      </c>
      <c r="D532" s="460" t="str">
        <f>'MANO DE OBRA'!$B$2</f>
        <v>Oficial</v>
      </c>
      <c r="E532" s="461"/>
      <c r="F532" s="97" t="str">
        <f>'MANO DE OBRA'!$C$3</f>
        <v>DIA</v>
      </c>
      <c r="G532" s="76">
        <v>1</v>
      </c>
      <c r="H532" s="101">
        <f>'MANO DE OBRA'!$D$2</f>
        <v>47982</v>
      </c>
      <c r="I532" s="102">
        <v>0.75649999999999995</v>
      </c>
      <c r="J532" s="103">
        <f>(H532+(H532*I532))</f>
        <v>84280.383000000002</v>
      </c>
      <c r="K532" s="76">
        <v>1.5</v>
      </c>
      <c r="L532" s="96">
        <f>G532*(J532/K532)</f>
        <v>56186.921999999999</v>
      </c>
    </row>
    <row r="533" spans="3:12" x14ac:dyDescent="0.25">
      <c r="C533" s="90"/>
      <c r="D533" s="493"/>
      <c r="E533" s="493"/>
      <c r="F533" s="97"/>
      <c r="G533" s="76"/>
      <c r="H533" s="101"/>
      <c r="I533" s="102"/>
      <c r="J533" s="103"/>
      <c r="K533" s="76"/>
      <c r="L533" s="96"/>
    </row>
    <row r="534" spans="3:12" ht="13.5" thickBot="1" x14ac:dyDescent="0.3">
      <c r="C534" s="83"/>
      <c r="D534" s="485" t="s">
        <v>520</v>
      </c>
      <c r="E534" s="485"/>
      <c r="F534" s="485"/>
      <c r="G534" s="485"/>
      <c r="H534" s="485"/>
      <c r="I534" s="485"/>
      <c r="J534" s="485"/>
      <c r="K534" s="485"/>
      <c r="L534" s="98">
        <f>L532+L531</f>
        <v>191937.53268</v>
      </c>
    </row>
    <row r="535" spans="3:12" ht="13.5" thickBot="1" x14ac:dyDescent="0.3">
      <c r="C535" s="486"/>
      <c r="D535" s="487"/>
      <c r="E535" s="487"/>
      <c r="F535" s="487"/>
      <c r="G535" s="487"/>
      <c r="H535" s="487"/>
      <c r="I535" s="487"/>
      <c r="J535" s="487"/>
      <c r="K535" s="487"/>
      <c r="L535" s="488"/>
    </row>
    <row r="536" spans="3:12" ht="13.5" thickBot="1" x14ac:dyDescent="0.3">
      <c r="C536" s="489" t="s">
        <v>521</v>
      </c>
      <c r="D536" s="490"/>
      <c r="E536" s="490"/>
      <c r="F536" s="490"/>
      <c r="G536" s="490"/>
      <c r="H536" s="490"/>
      <c r="I536" s="490"/>
      <c r="J536" s="491"/>
      <c r="K536" s="145">
        <f>ROUND(L534+L527+L521+L515,0)</f>
        <v>261131</v>
      </c>
      <c r="L536" s="146"/>
    </row>
    <row r="540" spans="3:12" ht="13.5" thickBot="1" x14ac:dyDescent="0.3"/>
    <row r="541" spans="3:12" x14ac:dyDescent="0.25">
      <c r="C541" s="466" t="s">
        <v>495</v>
      </c>
      <c r="D541" s="467"/>
      <c r="E541" s="467"/>
      <c r="F541" s="467"/>
      <c r="G541" s="467"/>
      <c r="H541" s="467"/>
      <c r="I541" s="467"/>
      <c r="J541" s="467"/>
      <c r="K541" s="467"/>
      <c r="L541" s="468"/>
    </row>
    <row r="542" spans="3:12" ht="12.75" customHeight="1" x14ac:dyDescent="0.25">
      <c r="C542" s="469" t="str">
        <f>+PPTO!$A$2</f>
        <v>REPOSICION E INSTALACION VALVULAS DE SECTORIZACION EN DIFERENTES SECTORES DEL MUNICIPIO DE PIEDECUESTA - SANTANDER.</v>
      </c>
      <c r="D542" s="470"/>
      <c r="E542" s="470"/>
      <c r="F542" s="470"/>
      <c r="G542" s="470"/>
      <c r="H542" s="470"/>
      <c r="I542" s="470"/>
      <c r="J542" s="470"/>
      <c r="K542" s="470"/>
      <c r="L542" s="471"/>
    </row>
    <row r="543" spans="3:12" x14ac:dyDescent="0.25">
      <c r="C543" s="472" t="s">
        <v>496</v>
      </c>
      <c r="D543" s="141">
        <f>+'ACTA 02'!A55</f>
        <v>6</v>
      </c>
      <c r="E543" s="474" t="str">
        <f>+'MAYORES Y MENORES 1'!B55</f>
        <v>ITEMS NO PREVISTOS</v>
      </c>
      <c r="F543" s="475"/>
      <c r="G543" s="475"/>
      <c r="H543" s="475"/>
      <c r="I543" s="475"/>
      <c r="J543" s="475"/>
      <c r="K543" s="475"/>
      <c r="L543" s="70" t="s">
        <v>52</v>
      </c>
    </row>
    <row r="544" spans="3:12" ht="13.5" thickBot="1" x14ac:dyDescent="0.3">
      <c r="C544" s="473"/>
      <c r="D544" s="120">
        <f>+'MAYORES Y MENORES 1'!A61</f>
        <v>6.08</v>
      </c>
      <c r="E544" s="476" t="str">
        <f>+'MAYORES Y MENORES 1'!B61</f>
        <v>Suministro e instalación unión universal  HD D=6" R1R2</v>
      </c>
      <c r="F544" s="476"/>
      <c r="G544" s="476"/>
      <c r="H544" s="476"/>
      <c r="I544" s="476"/>
      <c r="J544" s="476"/>
      <c r="K544" s="476"/>
      <c r="L544" s="71" t="str">
        <f>+'MAYORES Y MENORES 1'!C61</f>
        <v>UND</v>
      </c>
    </row>
    <row r="545" spans="3:12" ht="13.5" thickBot="1" x14ac:dyDescent="0.3">
      <c r="C545" s="477"/>
      <c r="D545" s="478"/>
      <c r="E545" s="478"/>
      <c r="F545" s="478"/>
      <c r="G545" s="478"/>
      <c r="H545" s="478"/>
      <c r="I545" s="478"/>
      <c r="J545" s="478"/>
      <c r="K545" s="478"/>
      <c r="L545" s="479"/>
    </row>
    <row r="546" spans="3:12" x14ac:dyDescent="0.25">
      <c r="C546" s="449" t="s">
        <v>497</v>
      </c>
      <c r="D546" s="450"/>
      <c r="E546" s="450"/>
      <c r="F546" s="450"/>
      <c r="G546" s="450"/>
      <c r="H546" s="450"/>
      <c r="I546" s="450"/>
      <c r="J546" s="450"/>
      <c r="K546" s="450"/>
      <c r="L546" s="451"/>
    </row>
    <row r="547" spans="3:12" x14ac:dyDescent="0.25">
      <c r="C547" s="351" t="s">
        <v>66</v>
      </c>
      <c r="D547" s="452" t="s">
        <v>498</v>
      </c>
      <c r="E547" s="452"/>
      <c r="F547" s="452"/>
      <c r="G547" s="452"/>
      <c r="H547" s="452"/>
      <c r="I547" s="352" t="s">
        <v>499</v>
      </c>
      <c r="J547" s="355" t="s">
        <v>500</v>
      </c>
      <c r="K547" s="352" t="s">
        <v>501</v>
      </c>
      <c r="L547" s="356" t="s">
        <v>502</v>
      </c>
    </row>
    <row r="548" spans="3:12" x14ac:dyDescent="0.25">
      <c r="C548" s="147"/>
      <c r="D548" s="458"/>
      <c r="E548" s="480"/>
      <c r="F548" s="480"/>
      <c r="G548" s="480"/>
      <c r="H548" s="459"/>
      <c r="I548" s="111"/>
      <c r="J548" s="111"/>
      <c r="K548" s="357"/>
      <c r="L548" s="358"/>
    </row>
    <row r="549" spans="3:12" x14ac:dyDescent="0.25">
      <c r="C549" s="147"/>
      <c r="D549" s="462"/>
      <c r="E549" s="462"/>
      <c r="F549" s="462"/>
      <c r="G549" s="462"/>
      <c r="H549" s="462"/>
      <c r="I549" s="111"/>
      <c r="J549" s="359"/>
      <c r="K549" s="360"/>
      <c r="L549" s="358"/>
    </row>
    <row r="550" spans="3:12" x14ac:dyDescent="0.25">
      <c r="C550" s="112"/>
      <c r="D550" s="462" t="s">
        <v>503</v>
      </c>
      <c r="E550" s="462"/>
      <c r="F550" s="462"/>
      <c r="G550" s="462"/>
      <c r="H550" s="462"/>
      <c r="I550" s="111" t="s">
        <v>61</v>
      </c>
      <c r="J550" s="359">
        <v>1</v>
      </c>
      <c r="K550" s="360">
        <f>L570*0.1</f>
        <v>1696.8826335000003</v>
      </c>
      <c r="L550" s="361">
        <f>K550/J550</f>
        <v>1696.8826335000003</v>
      </c>
    </row>
    <row r="551" spans="3:12" ht="13.5" thickBot="1" x14ac:dyDescent="0.3">
      <c r="C551" s="362"/>
      <c r="D551" s="445" t="s">
        <v>504</v>
      </c>
      <c r="E551" s="445"/>
      <c r="F551" s="445"/>
      <c r="G551" s="445"/>
      <c r="H551" s="445"/>
      <c r="I551" s="445"/>
      <c r="J551" s="445"/>
      <c r="K551" s="445"/>
      <c r="L551" s="363">
        <f>SUM(L548:L550)</f>
        <v>1696.8826335000003</v>
      </c>
    </row>
    <row r="552" spans="3:12" ht="13.5" thickBot="1" x14ac:dyDescent="0.3">
      <c r="C552" s="455"/>
      <c r="D552" s="456"/>
      <c r="E552" s="456"/>
      <c r="F552" s="456"/>
      <c r="G552" s="456"/>
      <c r="H552" s="456"/>
      <c r="I552" s="456"/>
      <c r="J552" s="456"/>
      <c r="K552" s="456"/>
      <c r="L552" s="457"/>
    </row>
    <row r="553" spans="3:12" x14ac:dyDescent="0.25">
      <c r="C553" s="449" t="s">
        <v>505</v>
      </c>
      <c r="D553" s="450"/>
      <c r="E553" s="450"/>
      <c r="F553" s="450"/>
      <c r="G553" s="450"/>
      <c r="H553" s="450"/>
      <c r="I553" s="450"/>
      <c r="J553" s="450"/>
      <c r="K553" s="450"/>
      <c r="L553" s="451"/>
    </row>
    <row r="554" spans="3:12" ht="25.5" x14ac:dyDescent="0.25">
      <c r="C554" s="351" t="s">
        <v>66</v>
      </c>
      <c r="D554" s="452" t="s">
        <v>498</v>
      </c>
      <c r="E554" s="452"/>
      <c r="F554" s="452"/>
      <c r="G554" s="452"/>
      <c r="H554" s="352" t="s">
        <v>499</v>
      </c>
      <c r="I554" s="355" t="s">
        <v>506</v>
      </c>
      <c r="J554" s="352" t="s">
        <v>501</v>
      </c>
      <c r="K554" s="364" t="s">
        <v>507</v>
      </c>
      <c r="L554" s="356" t="s">
        <v>502</v>
      </c>
    </row>
    <row r="555" spans="3:12" ht="19.899999999999999" customHeight="1" x14ac:dyDescent="0.25">
      <c r="C555" s="351" t="s">
        <v>846</v>
      </c>
      <c r="D555" s="481" t="s">
        <v>847</v>
      </c>
      <c r="E555" s="482"/>
      <c r="F555" s="482"/>
      <c r="G555" s="483"/>
      <c r="H555" s="352" t="s">
        <v>54</v>
      </c>
      <c r="I555" s="111">
        <v>1</v>
      </c>
      <c r="J555" s="365">
        <v>280000</v>
      </c>
      <c r="K555" s="366">
        <v>0</v>
      </c>
      <c r="L555" s="367">
        <f>I555*J555*(1+K555)</f>
        <v>280000</v>
      </c>
    </row>
    <row r="556" spans="3:12" x14ac:dyDescent="0.25">
      <c r="C556" s="113"/>
      <c r="D556" s="484"/>
      <c r="E556" s="484"/>
      <c r="F556" s="484"/>
      <c r="G556" s="484"/>
      <c r="H556" s="368"/>
      <c r="I556" s="369"/>
      <c r="J556" s="370"/>
      <c r="K556" s="371"/>
      <c r="L556" s="361"/>
    </row>
    <row r="557" spans="3:12" ht="13.5" thickBot="1" x14ac:dyDescent="0.3">
      <c r="C557" s="372"/>
      <c r="D557" s="445" t="s">
        <v>508</v>
      </c>
      <c r="E557" s="445"/>
      <c r="F557" s="445"/>
      <c r="G557" s="445"/>
      <c r="H557" s="445"/>
      <c r="I557" s="445"/>
      <c r="J557" s="445"/>
      <c r="K557" s="445"/>
      <c r="L557" s="363">
        <f>SUM(L555:L556)</f>
        <v>280000</v>
      </c>
    </row>
    <row r="558" spans="3:12" ht="13.5" thickBot="1" x14ac:dyDescent="0.3">
      <c r="C558" s="446"/>
      <c r="D558" s="447"/>
      <c r="E558" s="447"/>
      <c r="F558" s="447"/>
      <c r="G558" s="447"/>
      <c r="H558" s="447"/>
      <c r="I558" s="447"/>
      <c r="J558" s="447"/>
      <c r="K558" s="447"/>
      <c r="L558" s="448"/>
    </row>
    <row r="559" spans="3:12" x14ac:dyDescent="0.25">
      <c r="C559" s="449" t="s">
        <v>509</v>
      </c>
      <c r="D559" s="450"/>
      <c r="E559" s="450"/>
      <c r="F559" s="450"/>
      <c r="G559" s="450"/>
      <c r="H559" s="450"/>
      <c r="I559" s="450"/>
      <c r="J559" s="450"/>
      <c r="K559" s="450"/>
      <c r="L559" s="451"/>
    </row>
    <row r="560" spans="3:12" x14ac:dyDescent="0.25">
      <c r="C560" s="351" t="s">
        <v>66</v>
      </c>
      <c r="D560" s="452" t="s">
        <v>498</v>
      </c>
      <c r="E560" s="452"/>
      <c r="F560" s="452"/>
      <c r="G560" s="452"/>
      <c r="H560" s="352" t="s">
        <v>506</v>
      </c>
      <c r="I560" s="352" t="s">
        <v>499</v>
      </c>
      <c r="J560" s="355" t="s">
        <v>510</v>
      </c>
      <c r="K560" s="364" t="s">
        <v>511</v>
      </c>
      <c r="L560" s="356" t="s">
        <v>502</v>
      </c>
    </row>
    <row r="561" spans="3:15" x14ac:dyDescent="0.25">
      <c r="C561" s="113"/>
      <c r="D561" s="453"/>
      <c r="E561" s="453"/>
      <c r="F561" s="453"/>
      <c r="G561" s="453"/>
      <c r="H561" s="111"/>
      <c r="I561" s="368"/>
      <c r="J561" s="368"/>
      <c r="K561" s="373"/>
      <c r="L561" s="374"/>
      <c r="O561" s="119"/>
    </row>
    <row r="562" spans="3:15" x14ac:dyDescent="0.25">
      <c r="C562" s="113"/>
      <c r="D562" s="454"/>
      <c r="E562" s="454"/>
      <c r="F562" s="454"/>
      <c r="G562" s="454"/>
      <c r="H562" s="111"/>
      <c r="I562" s="368"/>
      <c r="J562" s="368"/>
      <c r="K562" s="373"/>
      <c r="L562" s="374"/>
    </row>
    <row r="563" spans="3:15" ht="13.5" thickBot="1" x14ac:dyDescent="0.3">
      <c r="C563" s="362"/>
      <c r="D563" s="445" t="s">
        <v>512</v>
      </c>
      <c r="E563" s="445"/>
      <c r="F563" s="445"/>
      <c r="G563" s="445"/>
      <c r="H563" s="445"/>
      <c r="I563" s="445"/>
      <c r="J563" s="445"/>
      <c r="K563" s="445"/>
      <c r="L563" s="375">
        <f>L561</f>
        <v>0</v>
      </c>
    </row>
    <row r="564" spans="3:15" ht="13.5" thickBot="1" x14ac:dyDescent="0.3">
      <c r="C564" s="455"/>
      <c r="D564" s="456"/>
      <c r="E564" s="456"/>
      <c r="F564" s="456"/>
      <c r="G564" s="456"/>
      <c r="H564" s="456"/>
      <c r="I564" s="456"/>
      <c r="J564" s="456"/>
      <c r="K564" s="456"/>
      <c r="L564" s="457"/>
    </row>
    <row r="565" spans="3:15" x14ac:dyDescent="0.25">
      <c r="C565" s="449" t="s">
        <v>513</v>
      </c>
      <c r="D565" s="450"/>
      <c r="E565" s="450"/>
      <c r="F565" s="450"/>
      <c r="G565" s="450"/>
      <c r="H565" s="450"/>
      <c r="I565" s="450"/>
      <c r="J565" s="450"/>
      <c r="K565" s="450"/>
      <c r="L565" s="451"/>
    </row>
    <row r="566" spans="3:15" x14ac:dyDescent="0.25">
      <c r="C566" s="351" t="s">
        <v>66</v>
      </c>
      <c r="D566" s="452" t="s">
        <v>498</v>
      </c>
      <c r="E566" s="452"/>
      <c r="F566" s="364" t="s">
        <v>499</v>
      </c>
      <c r="G566" s="364" t="s">
        <v>506</v>
      </c>
      <c r="H566" s="352" t="s">
        <v>514</v>
      </c>
      <c r="I566" s="376" t="s">
        <v>515</v>
      </c>
      <c r="J566" s="364" t="s">
        <v>516</v>
      </c>
      <c r="K566" s="376" t="s">
        <v>517</v>
      </c>
      <c r="L566" s="377" t="s">
        <v>502</v>
      </c>
    </row>
    <row r="567" spans="3:15" x14ac:dyDescent="0.25">
      <c r="C567" s="112" t="s">
        <v>519</v>
      </c>
      <c r="D567" s="458" t="str">
        <f>'MANO DE OBRA'!$B$3</f>
        <v>Ayudante</v>
      </c>
      <c r="E567" s="459"/>
      <c r="F567" s="368" t="str">
        <f>'MANO DE OBRA'!$C$2</f>
        <v>DIA</v>
      </c>
      <c r="G567" s="111">
        <v>2</v>
      </c>
      <c r="H567" s="378">
        <f>'MANO DE OBRA'!$D$3</f>
        <v>28981.77</v>
      </c>
      <c r="I567" s="379">
        <v>0.75649999999999995</v>
      </c>
      <c r="J567" s="380">
        <f>(H567+(H567*I567))</f>
        <v>50906.479005000001</v>
      </c>
      <c r="K567" s="111">
        <v>6</v>
      </c>
      <c r="L567" s="374">
        <f>G567*(J567/K567)</f>
        <v>16968.826335000002</v>
      </c>
    </row>
    <row r="568" spans="3:15" x14ac:dyDescent="0.25">
      <c r="C568" s="112"/>
      <c r="D568" s="458"/>
      <c r="E568" s="459"/>
      <c r="F568" s="368"/>
      <c r="G568" s="111"/>
      <c r="H568" s="378"/>
      <c r="I568" s="379"/>
      <c r="J568" s="380"/>
      <c r="K568" s="111"/>
      <c r="L568" s="374"/>
    </row>
    <row r="569" spans="3:15" x14ac:dyDescent="0.25">
      <c r="C569" s="113"/>
      <c r="D569" s="462"/>
      <c r="E569" s="462"/>
      <c r="F569" s="368"/>
      <c r="G569" s="111"/>
      <c r="H569" s="378"/>
      <c r="I569" s="379"/>
      <c r="J569" s="380"/>
      <c r="K569" s="111"/>
      <c r="L569" s="374"/>
    </row>
    <row r="570" spans="3:15" ht="13.5" thickBot="1" x14ac:dyDescent="0.3">
      <c r="C570" s="362"/>
      <c r="D570" s="445" t="s">
        <v>520</v>
      </c>
      <c r="E570" s="445"/>
      <c r="F570" s="445"/>
      <c r="G570" s="445"/>
      <c r="H570" s="445"/>
      <c r="I570" s="445"/>
      <c r="J570" s="445"/>
      <c r="K570" s="445"/>
      <c r="L570" s="375">
        <f>L568+L567</f>
        <v>16968.826335000002</v>
      </c>
    </row>
    <row r="571" spans="3:15" ht="13.5" thickBot="1" x14ac:dyDescent="0.3">
      <c r="C571" s="446"/>
      <c r="D571" s="447"/>
      <c r="E571" s="447"/>
      <c r="F571" s="447"/>
      <c r="G571" s="447"/>
      <c r="H571" s="447"/>
      <c r="I571" s="447"/>
      <c r="J571" s="447"/>
      <c r="K571" s="447"/>
      <c r="L571" s="448"/>
    </row>
    <row r="572" spans="3:15" ht="13.5" thickBot="1" x14ac:dyDescent="0.3">
      <c r="C572" s="463" t="s">
        <v>521</v>
      </c>
      <c r="D572" s="464"/>
      <c r="E572" s="464"/>
      <c r="F572" s="464"/>
      <c r="G572" s="464"/>
      <c r="H572" s="464"/>
      <c r="I572" s="464"/>
      <c r="J572" s="465"/>
      <c r="K572" s="381">
        <f>ROUND(L570+L563+L557+L551,0)</f>
        <v>298666</v>
      </c>
      <c r="L572" s="382"/>
    </row>
    <row r="573" spans="3:15" x14ac:dyDescent="0.25">
      <c r="C573" s="353"/>
      <c r="D573" s="354"/>
      <c r="E573" s="353"/>
      <c r="F573" s="353"/>
      <c r="G573" s="353"/>
      <c r="H573" s="353"/>
      <c r="I573" s="353"/>
      <c r="J573" s="353"/>
      <c r="K573" s="353"/>
      <c r="L573" s="353"/>
    </row>
    <row r="574" spans="3:15" ht="13.5" thickBot="1" x14ac:dyDescent="0.3"/>
    <row r="575" spans="3:15" x14ac:dyDescent="0.25">
      <c r="C575" s="466" t="s">
        <v>495</v>
      </c>
      <c r="D575" s="467"/>
      <c r="E575" s="467"/>
      <c r="F575" s="467"/>
      <c r="G575" s="467"/>
      <c r="H575" s="467"/>
      <c r="I575" s="467"/>
      <c r="J575" s="467"/>
      <c r="K575" s="467"/>
      <c r="L575" s="468"/>
    </row>
    <row r="576" spans="3:15" ht="12.75" customHeight="1" x14ac:dyDescent="0.25">
      <c r="C576" s="469" t="str">
        <f>+PPTO!$A$2</f>
        <v>REPOSICION E INSTALACION VALVULAS DE SECTORIZACION EN DIFERENTES SECTORES DEL MUNICIPIO DE PIEDECUESTA - SANTANDER.</v>
      </c>
      <c r="D576" s="470"/>
      <c r="E576" s="470"/>
      <c r="F576" s="470"/>
      <c r="G576" s="470"/>
      <c r="H576" s="470"/>
      <c r="I576" s="470"/>
      <c r="J576" s="470"/>
      <c r="K576" s="470"/>
      <c r="L576" s="471"/>
    </row>
    <row r="577" spans="3:12" x14ac:dyDescent="0.25">
      <c r="C577" s="472" t="s">
        <v>496</v>
      </c>
      <c r="D577" s="141">
        <f>+D543</f>
        <v>6</v>
      </c>
      <c r="E577" s="474" t="str">
        <f>+E543</f>
        <v>ITEMS NO PREVISTOS</v>
      </c>
      <c r="F577" s="475"/>
      <c r="G577" s="475"/>
      <c r="H577" s="475"/>
      <c r="I577" s="475"/>
      <c r="J577" s="475"/>
      <c r="K577" s="475"/>
      <c r="L577" s="70" t="s">
        <v>52</v>
      </c>
    </row>
    <row r="578" spans="3:12" ht="13.5" thickBot="1" x14ac:dyDescent="0.3">
      <c r="C578" s="473"/>
      <c r="D578" s="120">
        <f>+'MAYORES Y MENORES 1'!A62</f>
        <v>6.09</v>
      </c>
      <c r="E578" s="476" t="str">
        <f>+'MAYORES Y MENORES 1'!B62</f>
        <v>Suministro e instalación unión universal  HD D=8" R1R2</v>
      </c>
      <c r="F578" s="476"/>
      <c r="G578" s="476"/>
      <c r="H578" s="476"/>
      <c r="I578" s="476"/>
      <c r="J578" s="476"/>
      <c r="K578" s="476"/>
      <c r="L578" s="71" t="str">
        <f>+'MAYORES Y MENORES 1'!C62</f>
        <v>UND</v>
      </c>
    </row>
    <row r="579" spans="3:12" ht="13.5" thickBot="1" x14ac:dyDescent="0.3">
      <c r="C579" s="477"/>
      <c r="D579" s="478"/>
      <c r="E579" s="478"/>
      <c r="F579" s="478"/>
      <c r="G579" s="478"/>
      <c r="H579" s="478"/>
      <c r="I579" s="478"/>
      <c r="J579" s="478"/>
      <c r="K579" s="478"/>
      <c r="L579" s="479"/>
    </row>
    <row r="580" spans="3:12" x14ac:dyDescent="0.25">
      <c r="C580" s="449" t="s">
        <v>497</v>
      </c>
      <c r="D580" s="450"/>
      <c r="E580" s="450"/>
      <c r="F580" s="450"/>
      <c r="G580" s="450"/>
      <c r="H580" s="450"/>
      <c r="I580" s="450"/>
      <c r="J580" s="450"/>
      <c r="K580" s="450"/>
      <c r="L580" s="451"/>
    </row>
    <row r="581" spans="3:12" x14ac:dyDescent="0.25">
      <c r="C581" s="351" t="s">
        <v>66</v>
      </c>
      <c r="D581" s="452" t="s">
        <v>498</v>
      </c>
      <c r="E581" s="452"/>
      <c r="F581" s="452"/>
      <c r="G581" s="452"/>
      <c r="H581" s="452"/>
      <c r="I581" s="352" t="s">
        <v>499</v>
      </c>
      <c r="J581" s="355" t="s">
        <v>500</v>
      </c>
      <c r="K581" s="352" t="s">
        <v>501</v>
      </c>
      <c r="L581" s="356" t="s">
        <v>502</v>
      </c>
    </row>
    <row r="582" spans="3:12" x14ac:dyDescent="0.25">
      <c r="C582" s="147"/>
      <c r="D582" s="458"/>
      <c r="E582" s="480"/>
      <c r="F582" s="480"/>
      <c r="G582" s="480"/>
      <c r="H582" s="459"/>
      <c r="I582" s="111"/>
      <c r="J582" s="111"/>
      <c r="K582" s="357"/>
      <c r="L582" s="358"/>
    </row>
    <row r="583" spans="3:12" x14ac:dyDescent="0.25">
      <c r="C583" s="147"/>
      <c r="D583" s="462"/>
      <c r="E583" s="462"/>
      <c r="F583" s="462"/>
      <c r="G583" s="462"/>
      <c r="H583" s="462"/>
      <c r="I583" s="111"/>
      <c r="J583" s="359"/>
      <c r="K583" s="360"/>
      <c r="L583" s="358"/>
    </row>
    <row r="584" spans="3:12" x14ac:dyDescent="0.25">
      <c r="C584" s="112"/>
      <c r="D584" s="462" t="s">
        <v>503</v>
      </c>
      <c r="E584" s="462"/>
      <c r="F584" s="462"/>
      <c r="G584" s="462"/>
      <c r="H584" s="462"/>
      <c r="I584" s="111" t="s">
        <v>61</v>
      </c>
      <c r="J584" s="359">
        <v>1</v>
      </c>
      <c r="K584" s="360">
        <f>L604*0.1</f>
        <v>2036.2591602000002</v>
      </c>
      <c r="L584" s="361">
        <f>K584/J584</f>
        <v>2036.2591602000002</v>
      </c>
    </row>
    <row r="585" spans="3:12" ht="13.5" thickBot="1" x14ac:dyDescent="0.3">
      <c r="C585" s="362"/>
      <c r="D585" s="445" t="s">
        <v>504</v>
      </c>
      <c r="E585" s="445"/>
      <c r="F585" s="445"/>
      <c r="G585" s="445"/>
      <c r="H585" s="445"/>
      <c r="I585" s="445"/>
      <c r="J585" s="445"/>
      <c r="K585" s="445"/>
      <c r="L585" s="363">
        <f>SUM(L582:L584)</f>
        <v>2036.2591602000002</v>
      </c>
    </row>
    <row r="586" spans="3:12" ht="13.5" thickBot="1" x14ac:dyDescent="0.3">
      <c r="C586" s="455"/>
      <c r="D586" s="456"/>
      <c r="E586" s="456"/>
      <c r="F586" s="456"/>
      <c r="G586" s="456"/>
      <c r="H586" s="456"/>
      <c r="I586" s="456"/>
      <c r="J586" s="456"/>
      <c r="K586" s="456"/>
      <c r="L586" s="457"/>
    </row>
    <row r="587" spans="3:12" x14ac:dyDescent="0.25">
      <c r="C587" s="449" t="s">
        <v>505</v>
      </c>
      <c r="D587" s="450"/>
      <c r="E587" s="450"/>
      <c r="F587" s="450"/>
      <c r="G587" s="450"/>
      <c r="H587" s="450"/>
      <c r="I587" s="450"/>
      <c r="J587" s="450"/>
      <c r="K587" s="450"/>
      <c r="L587" s="451"/>
    </row>
    <row r="588" spans="3:12" ht="25.5" x14ac:dyDescent="0.25">
      <c r="C588" s="351" t="s">
        <v>66</v>
      </c>
      <c r="D588" s="452" t="s">
        <v>498</v>
      </c>
      <c r="E588" s="452"/>
      <c r="F588" s="452"/>
      <c r="G588" s="452"/>
      <c r="H588" s="352" t="s">
        <v>499</v>
      </c>
      <c r="I588" s="355" t="s">
        <v>506</v>
      </c>
      <c r="J588" s="352" t="s">
        <v>501</v>
      </c>
      <c r="K588" s="364" t="s">
        <v>507</v>
      </c>
      <c r="L588" s="356" t="s">
        <v>502</v>
      </c>
    </row>
    <row r="589" spans="3:12" ht="19.899999999999999" customHeight="1" x14ac:dyDescent="0.25">
      <c r="C589" s="351" t="s">
        <v>851</v>
      </c>
      <c r="D589" s="481" t="s">
        <v>850</v>
      </c>
      <c r="E589" s="482"/>
      <c r="F589" s="482"/>
      <c r="G589" s="483"/>
      <c r="H589" s="352" t="s">
        <v>54</v>
      </c>
      <c r="I589" s="111">
        <v>1</v>
      </c>
      <c r="J589" s="365">
        <v>390000</v>
      </c>
      <c r="K589" s="366">
        <v>0</v>
      </c>
      <c r="L589" s="367">
        <f>I589*J589*(1+K589)</f>
        <v>390000</v>
      </c>
    </row>
    <row r="590" spans="3:12" x14ac:dyDescent="0.25">
      <c r="C590" s="113"/>
      <c r="D590" s="484"/>
      <c r="E590" s="484"/>
      <c r="F590" s="484"/>
      <c r="G590" s="484"/>
      <c r="H590" s="368"/>
      <c r="I590" s="369"/>
      <c r="J590" s="370"/>
      <c r="K590" s="371"/>
      <c r="L590" s="361"/>
    </row>
    <row r="591" spans="3:12" ht="13.5" thickBot="1" x14ac:dyDescent="0.3">
      <c r="C591" s="372"/>
      <c r="D591" s="445" t="s">
        <v>508</v>
      </c>
      <c r="E591" s="445"/>
      <c r="F591" s="445"/>
      <c r="G591" s="445"/>
      <c r="H591" s="445"/>
      <c r="I591" s="445"/>
      <c r="J591" s="445"/>
      <c r="K591" s="445"/>
      <c r="L591" s="363">
        <f>SUM(L589:L590)</f>
        <v>390000</v>
      </c>
    </row>
    <row r="592" spans="3:12" ht="13.5" thickBot="1" x14ac:dyDescent="0.3">
      <c r="C592" s="446"/>
      <c r="D592" s="447"/>
      <c r="E592" s="447"/>
      <c r="F592" s="447"/>
      <c r="G592" s="447"/>
      <c r="H592" s="447"/>
      <c r="I592" s="447"/>
      <c r="J592" s="447"/>
      <c r="K592" s="447"/>
      <c r="L592" s="448"/>
    </row>
    <row r="593" spans="3:15" x14ac:dyDescent="0.25">
      <c r="C593" s="449" t="s">
        <v>509</v>
      </c>
      <c r="D593" s="450"/>
      <c r="E593" s="450"/>
      <c r="F593" s="450"/>
      <c r="G593" s="450"/>
      <c r="H593" s="450"/>
      <c r="I593" s="450"/>
      <c r="J593" s="450"/>
      <c r="K593" s="450"/>
      <c r="L593" s="451"/>
    </row>
    <row r="594" spans="3:15" x14ac:dyDescent="0.25">
      <c r="C594" s="351" t="s">
        <v>66</v>
      </c>
      <c r="D594" s="452" t="s">
        <v>498</v>
      </c>
      <c r="E594" s="452"/>
      <c r="F594" s="452"/>
      <c r="G594" s="452"/>
      <c r="H594" s="352" t="s">
        <v>506</v>
      </c>
      <c r="I594" s="352" t="s">
        <v>499</v>
      </c>
      <c r="J594" s="355" t="s">
        <v>510</v>
      </c>
      <c r="K594" s="364" t="s">
        <v>511</v>
      </c>
      <c r="L594" s="356" t="s">
        <v>502</v>
      </c>
    </row>
    <row r="595" spans="3:15" x14ac:dyDescent="0.25">
      <c r="C595" s="113"/>
      <c r="D595" s="453"/>
      <c r="E595" s="453"/>
      <c r="F595" s="453"/>
      <c r="G595" s="453"/>
      <c r="H595" s="111"/>
      <c r="I595" s="368"/>
      <c r="J595" s="368"/>
      <c r="K595" s="373"/>
      <c r="L595" s="374"/>
      <c r="O595" s="119"/>
    </row>
    <row r="596" spans="3:15" x14ac:dyDescent="0.25">
      <c r="C596" s="113"/>
      <c r="D596" s="454"/>
      <c r="E596" s="454"/>
      <c r="F596" s="454"/>
      <c r="G596" s="454"/>
      <c r="H596" s="111"/>
      <c r="I596" s="368"/>
      <c r="J596" s="368"/>
      <c r="K596" s="373"/>
      <c r="L596" s="374"/>
    </row>
    <row r="597" spans="3:15" ht="13.5" thickBot="1" x14ac:dyDescent="0.3">
      <c r="C597" s="362"/>
      <c r="D597" s="445" t="s">
        <v>512</v>
      </c>
      <c r="E597" s="445"/>
      <c r="F597" s="445"/>
      <c r="G597" s="445"/>
      <c r="H597" s="445"/>
      <c r="I597" s="445"/>
      <c r="J597" s="445"/>
      <c r="K597" s="445"/>
      <c r="L597" s="375">
        <f>L595</f>
        <v>0</v>
      </c>
    </row>
    <row r="598" spans="3:15" ht="13.5" thickBot="1" x14ac:dyDescent="0.3">
      <c r="C598" s="455"/>
      <c r="D598" s="456"/>
      <c r="E598" s="456"/>
      <c r="F598" s="456"/>
      <c r="G598" s="456"/>
      <c r="H598" s="456"/>
      <c r="I598" s="456"/>
      <c r="J598" s="456"/>
      <c r="K598" s="456"/>
      <c r="L598" s="457"/>
    </row>
    <row r="599" spans="3:15" x14ac:dyDescent="0.25">
      <c r="C599" s="449" t="s">
        <v>513</v>
      </c>
      <c r="D599" s="450"/>
      <c r="E599" s="450"/>
      <c r="F599" s="450"/>
      <c r="G599" s="450"/>
      <c r="H599" s="450"/>
      <c r="I599" s="450"/>
      <c r="J599" s="450"/>
      <c r="K599" s="450"/>
      <c r="L599" s="451"/>
    </row>
    <row r="600" spans="3:15" x14ac:dyDescent="0.25">
      <c r="C600" s="351" t="s">
        <v>66</v>
      </c>
      <c r="D600" s="452" t="s">
        <v>498</v>
      </c>
      <c r="E600" s="452"/>
      <c r="F600" s="364" t="s">
        <v>499</v>
      </c>
      <c r="G600" s="364" t="s">
        <v>506</v>
      </c>
      <c r="H600" s="352" t="s">
        <v>514</v>
      </c>
      <c r="I600" s="376" t="s">
        <v>515</v>
      </c>
      <c r="J600" s="364" t="s">
        <v>516</v>
      </c>
      <c r="K600" s="376" t="s">
        <v>517</v>
      </c>
      <c r="L600" s="377" t="s">
        <v>502</v>
      </c>
    </row>
    <row r="601" spans="3:15" x14ac:dyDescent="0.25">
      <c r="C601" s="112" t="s">
        <v>519</v>
      </c>
      <c r="D601" s="458" t="str">
        <f>'MANO DE OBRA'!$B$3</f>
        <v>Ayudante</v>
      </c>
      <c r="E601" s="459"/>
      <c r="F601" s="368" t="str">
        <f>'MANO DE OBRA'!$C$2</f>
        <v>DIA</v>
      </c>
      <c r="G601" s="111">
        <v>2</v>
      </c>
      <c r="H601" s="378">
        <f>'MANO DE OBRA'!$D$3</f>
        <v>28981.77</v>
      </c>
      <c r="I601" s="379">
        <v>0.75649999999999995</v>
      </c>
      <c r="J601" s="380">
        <f>(H601+(H601*I601))</f>
        <v>50906.479005000001</v>
      </c>
      <c r="K601" s="111">
        <v>5</v>
      </c>
      <c r="L601" s="374">
        <f>G601*(J601/K601)</f>
        <v>20362.591602</v>
      </c>
    </row>
    <row r="602" spans="3:15" x14ac:dyDescent="0.25">
      <c r="C602" s="112"/>
      <c r="D602" s="458"/>
      <c r="E602" s="459"/>
      <c r="F602" s="368"/>
      <c r="G602" s="111"/>
      <c r="H602" s="378"/>
      <c r="I602" s="379"/>
      <c r="J602" s="380"/>
      <c r="K602" s="111"/>
      <c r="L602" s="374"/>
    </row>
    <row r="603" spans="3:15" x14ac:dyDescent="0.25">
      <c r="C603" s="113"/>
      <c r="D603" s="462"/>
      <c r="E603" s="462"/>
      <c r="F603" s="368"/>
      <c r="G603" s="111"/>
      <c r="H603" s="378"/>
      <c r="I603" s="379"/>
      <c r="J603" s="380"/>
      <c r="K603" s="111"/>
      <c r="L603" s="374"/>
    </row>
    <row r="604" spans="3:15" ht="13.5" thickBot="1" x14ac:dyDescent="0.3">
      <c r="C604" s="362"/>
      <c r="D604" s="445" t="s">
        <v>520</v>
      </c>
      <c r="E604" s="445"/>
      <c r="F604" s="445"/>
      <c r="G604" s="445"/>
      <c r="H604" s="445"/>
      <c r="I604" s="445"/>
      <c r="J604" s="445"/>
      <c r="K604" s="445"/>
      <c r="L604" s="375">
        <f>L602+L601</f>
        <v>20362.591602</v>
      </c>
    </row>
    <row r="605" spans="3:15" ht="13.5" thickBot="1" x14ac:dyDescent="0.3">
      <c r="C605" s="446"/>
      <c r="D605" s="447"/>
      <c r="E605" s="447"/>
      <c r="F605" s="447"/>
      <c r="G605" s="447"/>
      <c r="H605" s="447"/>
      <c r="I605" s="447"/>
      <c r="J605" s="447"/>
      <c r="K605" s="447"/>
      <c r="L605" s="448"/>
    </row>
    <row r="606" spans="3:15" ht="13.5" thickBot="1" x14ac:dyDescent="0.3">
      <c r="C606" s="463" t="s">
        <v>521</v>
      </c>
      <c r="D606" s="464"/>
      <c r="E606" s="464"/>
      <c r="F606" s="464"/>
      <c r="G606" s="464"/>
      <c r="H606" s="464"/>
      <c r="I606" s="464"/>
      <c r="J606" s="465"/>
      <c r="K606" s="381">
        <f>ROUND(L604+L597+L591+L585,0)</f>
        <v>412399</v>
      </c>
      <c r="L606" s="382"/>
    </row>
    <row r="607" spans="3:15" x14ac:dyDescent="0.25">
      <c r="C607" s="353"/>
      <c r="D607" s="354"/>
      <c r="E607" s="353"/>
      <c r="F607" s="353"/>
      <c r="G607" s="353"/>
      <c r="H607" s="353"/>
      <c r="I607" s="353"/>
      <c r="J607" s="353"/>
      <c r="K607" s="353"/>
      <c r="L607" s="353"/>
    </row>
    <row r="608" spans="3:15" ht="13.5" thickBot="1" x14ac:dyDescent="0.3">
      <c r="C608" s="353"/>
      <c r="D608" s="354"/>
      <c r="E608" s="353"/>
      <c r="F608" s="353"/>
      <c r="G608" s="353"/>
      <c r="H608" s="353"/>
      <c r="I608" s="353"/>
      <c r="J608" s="353"/>
      <c r="K608" s="353"/>
      <c r="L608" s="353"/>
    </row>
    <row r="609" spans="3:12" hidden="1" x14ac:dyDescent="0.25">
      <c r="C609" s="466" t="s">
        <v>495</v>
      </c>
      <c r="D609" s="467"/>
      <c r="E609" s="467"/>
      <c r="F609" s="467"/>
      <c r="G609" s="467"/>
      <c r="H609" s="467"/>
      <c r="I609" s="467"/>
      <c r="J609" s="467"/>
      <c r="K609" s="467"/>
      <c r="L609" s="468"/>
    </row>
    <row r="610" spans="3:12" hidden="1" x14ac:dyDescent="0.25">
      <c r="C610" s="469" t="str">
        <f>+PPTO!$A$2</f>
        <v>REPOSICION E INSTALACION VALVULAS DE SECTORIZACION EN DIFERENTES SECTORES DEL MUNICIPIO DE PIEDECUESTA - SANTANDER.</v>
      </c>
      <c r="D610" s="470"/>
      <c r="E610" s="470"/>
      <c r="F610" s="470"/>
      <c r="G610" s="470"/>
      <c r="H610" s="470"/>
      <c r="I610" s="470"/>
      <c r="J610" s="470"/>
      <c r="K610" s="470"/>
      <c r="L610" s="471"/>
    </row>
    <row r="611" spans="3:12" hidden="1" x14ac:dyDescent="0.25">
      <c r="C611" s="472" t="s">
        <v>496</v>
      </c>
      <c r="D611" s="141">
        <f>+PPTO!$A$20</f>
        <v>4</v>
      </c>
      <c r="E611" s="474" t="str">
        <f>+PPTO!$B$20</f>
        <v>SUMINISTRO E INSTALACION DE TUBERIAS Y ACCESORIOS.</v>
      </c>
      <c r="F611" s="475"/>
      <c r="G611" s="475"/>
      <c r="H611" s="475"/>
      <c r="I611" s="475"/>
      <c r="J611" s="475"/>
      <c r="K611" s="475"/>
      <c r="L611" s="70" t="s">
        <v>52</v>
      </c>
    </row>
    <row r="612" spans="3:12" ht="13.5" hidden="1" thickBot="1" x14ac:dyDescent="0.3">
      <c r="C612" s="473"/>
      <c r="D612" s="120">
        <f>+PPTO!A28</f>
        <v>4.08</v>
      </c>
      <c r="E612" s="476" t="str">
        <f>+PPTO!B28</f>
        <v xml:space="preserve">Suministro e instalación unión rápida  D=3" </v>
      </c>
      <c r="F612" s="476"/>
      <c r="G612" s="476"/>
      <c r="H612" s="476"/>
      <c r="I612" s="476"/>
      <c r="J612" s="476"/>
      <c r="K612" s="476"/>
      <c r="L612" s="71" t="str">
        <f>+PPTO!C28</f>
        <v>UND</v>
      </c>
    </row>
    <row r="613" spans="3:12" ht="13.5" hidden="1" thickBot="1" x14ac:dyDescent="0.3">
      <c r="C613" s="477"/>
      <c r="D613" s="478"/>
      <c r="E613" s="478"/>
      <c r="F613" s="478"/>
      <c r="G613" s="478"/>
      <c r="H613" s="478"/>
      <c r="I613" s="478"/>
      <c r="J613" s="478"/>
      <c r="K613" s="478"/>
      <c r="L613" s="479"/>
    </row>
    <row r="614" spans="3:12" hidden="1" x14ac:dyDescent="0.25">
      <c r="C614" s="466" t="s">
        <v>497</v>
      </c>
      <c r="D614" s="467"/>
      <c r="E614" s="467"/>
      <c r="F614" s="467"/>
      <c r="G614" s="467"/>
      <c r="H614" s="467"/>
      <c r="I614" s="467"/>
      <c r="J614" s="467"/>
      <c r="K614" s="467"/>
      <c r="L614" s="468"/>
    </row>
    <row r="615" spans="3:12" hidden="1" x14ac:dyDescent="0.25">
      <c r="C615" s="72" t="s">
        <v>66</v>
      </c>
      <c r="D615" s="492" t="s">
        <v>498</v>
      </c>
      <c r="E615" s="492"/>
      <c r="F615" s="492"/>
      <c r="G615" s="492"/>
      <c r="H615" s="492"/>
      <c r="I615" s="73" t="s">
        <v>499</v>
      </c>
      <c r="J615" s="74" t="s">
        <v>500</v>
      </c>
      <c r="K615" s="73" t="s">
        <v>501</v>
      </c>
      <c r="L615" s="70" t="s">
        <v>502</v>
      </c>
    </row>
    <row r="616" spans="3:12" hidden="1" x14ac:dyDescent="0.25">
      <c r="C616" s="75"/>
      <c r="D616" s="460"/>
      <c r="E616" s="499"/>
      <c r="F616" s="499"/>
      <c r="G616" s="499"/>
      <c r="H616" s="461"/>
      <c r="I616" s="76"/>
      <c r="J616" s="76"/>
      <c r="K616" s="77"/>
      <c r="L616" s="78"/>
    </row>
    <row r="617" spans="3:12" hidden="1" x14ac:dyDescent="0.25">
      <c r="C617" s="75"/>
      <c r="D617" s="493"/>
      <c r="E617" s="493"/>
      <c r="F617" s="493"/>
      <c r="G617" s="493"/>
      <c r="H617" s="493"/>
      <c r="I617" s="76"/>
      <c r="J617" s="80"/>
      <c r="K617" s="81"/>
      <c r="L617" s="78"/>
    </row>
    <row r="618" spans="3:12" hidden="1" x14ac:dyDescent="0.25">
      <c r="C618" s="79"/>
      <c r="D618" s="493" t="s">
        <v>503</v>
      </c>
      <c r="E618" s="493"/>
      <c r="F618" s="493"/>
      <c r="G618" s="493"/>
      <c r="H618" s="493"/>
      <c r="I618" s="76" t="s">
        <v>61</v>
      </c>
      <c r="J618" s="80">
        <v>1</v>
      </c>
      <c r="K618" s="81">
        <f>L641*0.1</f>
        <v>1018.1295801000001</v>
      </c>
      <c r="L618" s="82">
        <f>K618/J618</f>
        <v>1018.1295801000001</v>
      </c>
    </row>
    <row r="619" spans="3:12" ht="13.5" hidden="1" thickBot="1" x14ac:dyDescent="0.3">
      <c r="C619" s="83"/>
      <c r="D619" s="485" t="s">
        <v>504</v>
      </c>
      <c r="E619" s="485"/>
      <c r="F619" s="485"/>
      <c r="G619" s="485"/>
      <c r="H619" s="485"/>
      <c r="I619" s="485"/>
      <c r="J619" s="485"/>
      <c r="K619" s="485"/>
      <c r="L619" s="84">
        <f>SUM(L616:L618)</f>
        <v>1018.1295801000001</v>
      </c>
    </row>
    <row r="620" spans="3:12" ht="13.5" hidden="1" thickBot="1" x14ac:dyDescent="0.3">
      <c r="C620" s="477"/>
      <c r="D620" s="478"/>
      <c r="E620" s="478"/>
      <c r="F620" s="478"/>
      <c r="G620" s="478"/>
      <c r="H620" s="478"/>
      <c r="I620" s="478"/>
      <c r="J620" s="478"/>
      <c r="K620" s="478"/>
      <c r="L620" s="479"/>
    </row>
    <row r="621" spans="3:12" hidden="1" x14ac:dyDescent="0.25">
      <c r="C621" s="466" t="s">
        <v>505</v>
      </c>
      <c r="D621" s="467"/>
      <c r="E621" s="467"/>
      <c r="F621" s="467"/>
      <c r="G621" s="467"/>
      <c r="H621" s="467"/>
      <c r="I621" s="467"/>
      <c r="J621" s="467"/>
      <c r="K621" s="467"/>
      <c r="L621" s="468"/>
    </row>
    <row r="622" spans="3:12" ht="25.5" hidden="1" x14ac:dyDescent="0.25">
      <c r="C622" s="72" t="s">
        <v>66</v>
      </c>
      <c r="D622" s="492" t="s">
        <v>498</v>
      </c>
      <c r="E622" s="492"/>
      <c r="F622" s="492"/>
      <c r="G622" s="492"/>
      <c r="H622" s="73" t="s">
        <v>499</v>
      </c>
      <c r="I622" s="74" t="s">
        <v>506</v>
      </c>
      <c r="J622" s="73" t="s">
        <v>501</v>
      </c>
      <c r="K622" s="85" t="s">
        <v>507</v>
      </c>
      <c r="L622" s="70" t="s">
        <v>502</v>
      </c>
    </row>
    <row r="623" spans="3:12" hidden="1" x14ac:dyDescent="0.25">
      <c r="C623" s="113" t="s">
        <v>731</v>
      </c>
      <c r="D623" s="498" t="str">
        <f>+MATERIALES!$B$302</f>
        <v>Lubricante tarro</v>
      </c>
      <c r="E623" s="496"/>
      <c r="F623" s="496"/>
      <c r="G623" s="497"/>
      <c r="H623" s="73" t="str">
        <f>+MATERIALES!$C$302</f>
        <v>Kg</v>
      </c>
      <c r="I623" s="76">
        <v>0.01</v>
      </c>
      <c r="J623" s="86">
        <f>+MATERIALES!$D$302</f>
        <v>43900</v>
      </c>
      <c r="K623" s="87">
        <v>0.01</v>
      </c>
      <c r="L623" s="88">
        <f>I623*J623*(1+K623)</f>
        <v>443.39</v>
      </c>
    </row>
    <row r="624" spans="3:12" hidden="1" x14ac:dyDescent="0.25">
      <c r="C624" s="90" t="s">
        <v>732</v>
      </c>
      <c r="D624" s="498" t="str">
        <f>+MATERIALES!$B$303</f>
        <v>Limpiador PVC 760 grms</v>
      </c>
      <c r="E624" s="496"/>
      <c r="F624" s="496"/>
      <c r="G624" s="497"/>
      <c r="H624" s="73" t="str">
        <f>+MATERIALES!$C$303</f>
        <v>und</v>
      </c>
      <c r="I624" s="76">
        <v>0.05</v>
      </c>
      <c r="J624" s="86">
        <f>+MATERIALES!$D$303</f>
        <v>40900</v>
      </c>
      <c r="K624" s="87">
        <v>0.01</v>
      </c>
      <c r="L624" s="88">
        <f>I624*J624*(1+K624)</f>
        <v>2065.4499999999998</v>
      </c>
    </row>
    <row r="625" spans="3:15" hidden="1" x14ac:dyDescent="0.25">
      <c r="C625" s="90" t="s">
        <v>733</v>
      </c>
      <c r="D625" s="498" t="str">
        <f>+MATERIALES!$B$304</f>
        <v>Soldadura PVC 1/4 galon</v>
      </c>
      <c r="E625" s="496"/>
      <c r="F625" s="496"/>
      <c r="G625" s="497"/>
      <c r="H625" s="73" t="str">
        <f>+MATERIALES!$C$304</f>
        <v>und</v>
      </c>
      <c r="I625" s="76">
        <v>0.05</v>
      </c>
      <c r="J625" s="86">
        <f>+MATERIALES!$D$304</f>
        <v>84900</v>
      </c>
      <c r="K625" s="87">
        <v>0.01</v>
      </c>
      <c r="L625" s="88">
        <f>I625*J625*(1+K625)</f>
        <v>4287.45</v>
      </c>
    </row>
    <row r="626" spans="3:15" hidden="1" x14ac:dyDescent="0.25">
      <c r="C626" s="113" t="s">
        <v>723</v>
      </c>
      <c r="D626" s="498" t="str">
        <f>+MATERIALES!B295</f>
        <v xml:space="preserve">unión rápida  D=3" </v>
      </c>
      <c r="E626" s="496"/>
      <c r="F626" s="496"/>
      <c r="G626" s="497"/>
      <c r="H626" s="73" t="str">
        <f>+MATERIALES!C295</f>
        <v>und</v>
      </c>
      <c r="I626" s="91">
        <v>1</v>
      </c>
      <c r="J626" s="86">
        <f>+MATERIALES!D295</f>
        <v>26704</v>
      </c>
      <c r="K626" s="93">
        <v>0</v>
      </c>
      <c r="L626" s="88">
        <f>I626*J626*(1+K626)</f>
        <v>26704</v>
      </c>
    </row>
    <row r="627" spans="3:15" ht="13.5" hidden="1" thickBot="1" x14ac:dyDescent="0.3">
      <c r="C627" s="94"/>
      <c r="D627" s="485" t="s">
        <v>508</v>
      </c>
      <c r="E627" s="485"/>
      <c r="F627" s="485"/>
      <c r="G627" s="485"/>
      <c r="H627" s="485"/>
      <c r="I627" s="485"/>
      <c r="J627" s="485"/>
      <c r="K627" s="485"/>
      <c r="L627" s="84">
        <f>SUM(L623:L626)</f>
        <v>33500.29</v>
      </c>
      <c r="O627" s="119"/>
    </row>
    <row r="628" spans="3:15" ht="13.5" hidden="1" thickBot="1" x14ac:dyDescent="0.3">
      <c r="C628" s="486"/>
      <c r="D628" s="487"/>
      <c r="E628" s="487"/>
      <c r="F628" s="487"/>
      <c r="G628" s="487"/>
      <c r="H628" s="487"/>
      <c r="I628" s="487"/>
      <c r="J628" s="487"/>
      <c r="K628" s="487"/>
      <c r="L628" s="488"/>
    </row>
    <row r="629" spans="3:15" hidden="1" x14ac:dyDescent="0.25">
      <c r="C629" s="466" t="s">
        <v>509</v>
      </c>
      <c r="D629" s="467"/>
      <c r="E629" s="467"/>
      <c r="F629" s="467"/>
      <c r="G629" s="467"/>
      <c r="H629" s="467"/>
      <c r="I629" s="467"/>
      <c r="J629" s="467"/>
      <c r="K629" s="467"/>
      <c r="L629" s="468"/>
    </row>
    <row r="630" spans="3:15" hidden="1" x14ac:dyDescent="0.25">
      <c r="C630" s="72" t="s">
        <v>66</v>
      </c>
      <c r="D630" s="492" t="s">
        <v>498</v>
      </c>
      <c r="E630" s="492"/>
      <c r="F630" s="492"/>
      <c r="G630" s="492"/>
      <c r="H630" s="73" t="s">
        <v>506</v>
      </c>
      <c r="I630" s="73" t="s">
        <v>499</v>
      </c>
      <c r="J630" s="74" t="s">
        <v>510</v>
      </c>
      <c r="K630" s="85" t="s">
        <v>511</v>
      </c>
      <c r="L630" s="70" t="s">
        <v>502</v>
      </c>
    </row>
    <row r="631" spans="3:15" hidden="1" x14ac:dyDescent="0.25">
      <c r="C631" s="90"/>
      <c r="D631" s="494"/>
      <c r="E631" s="494"/>
      <c r="F631" s="494"/>
      <c r="G631" s="494"/>
      <c r="H631" s="76"/>
      <c r="I631" s="97"/>
      <c r="J631" s="97"/>
      <c r="K631" s="95"/>
      <c r="L631" s="96"/>
    </row>
    <row r="632" spans="3:15" hidden="1" x14ac:dyDescent="0.25">
      <c r="C632" s="90"/>
      <c r="D632" s="495"/>
      <c r="E632" s="495"/>
      <c r="F632" s="495"/>
      <c r="G632" s="495"/>
      <c r="H632" s="76"/>
      <c r="I632" s="97"/>
      <c r="J632" s="97"/>
      <c r="K632" s="95"/>
      <c r="L632" s="96"/>
      <c r="O632" s="119">
        <f>44700-(L641+L619)</f>
        <v>33500.574618899998</v>
      </c>
    </row>
    <row r="633" spans="3:15" hidden="1" x14ac:dyDescent="0.25">
      <c r="C633" s="90"/>
      <c r="D633" s="495"/>
      <c r="E633" s="495"/>
      <c r="F633" s="495"/>
      <c r="G633" s="495"/>
      <c r="H633" s="76"/>
      <c r="I633" s="97"/>
      <c r="J633" s="97"/>
      <c r="K633" s="95"/>
      <c r="L633" s="96"/>
    </row>
    <row r="634" spans="3:15" ht="13.5" hidden="1" thickBot="1" x14ac:dyDescent="0.3">
      <c r="C634" s="83"/>
      <c r="D634" s="485" t="s">
        <v>512</v>
      </c>
      <c r="E634" s="485"/>
      <c r="F634" s="485"/>
      <c r="G634" s="485"/>
      <c r="H634" s="485"/>
      <c r="I634" s="485"/>
      <c r="J634" s="485"/>
      <c r="K634" s="485"/>
      <c r="L634" s="98">
        <f>L631</f>
        <v>0</v>
      </c>
    </row>
    <row r="635" spans="3:15" ht="13.5" hidden="1" thickBot="1" x14ac:dyDescent="0.3">
      <c r="C635" s="477"/>
      <c r="D635" s="478"/>
      <c r="E635" s="478"/>
      <c r="F635" s="478"/>
      <c r="G635" s="478"/>
      <c r="H635" s="478"/>
      <c r="I635" s="478"/>
      <c r="J635" s="478"/>
      <c r="K635" s="478"/>
      <c r="L635" s="479"/>
    </row>
    <row r="636" spans="3:15" hidden="1" x14ac:dyDescent="0.25">
      <c r="C636" s="466" t="s">
        <v>513</v>
      </c>
      <c r="D636" s="467"/>
      <c r="E636" s="467"/>
      <c r="F636" s="467"/>
      <c r="G636" s="467"/>
      <c r="H636" s="467"/>
      <c r="I636" s="467"/>
      <c r="J636" s="467"/>
      <c r="K636" s="467"/>
      <c r="L636" s="468"/>
    </row>
    <row r="637" spans="3:15" hidden="1" x14ac:dyDescent="0.25">
      <c r="C637" s="72" t="s">
        <v>66</v>
      </c>
      <c r="D637" s="492" t="s">
        <v>498</v>
      </c>
      <c r="E637" s="492"/>
      <c r="F637" s="85" t="s">
        <v>499</v>
      </c>
      <c r="G637" s="85" t="s">
        <v>506</v>
      </c>
      <c r="H637" s="73" t="s">
        <v>514</v>
      </c>
      <c r="I637" s="99" t="s">
        <v>515</v>
      </c>
      <c r="J637" s="85" t="s">
        <v>516</v>
      </c>
      <c r="K637" s="99" t="s">
        <v>517</v>
      </c>
      <c r="L637" s="100" t="s">
        <v>502</v>
      </c>
    </row>
    <row r="638" spans="3:15" hidden="1" x14ac:dyDescent="0.25">
      <c r="C638" s="79" t="s">
        <v>519</v>
      </c>
      <c r="D638" s="460" t="str">
        <f>'MANO DE OBRA'!$B$3</f>
        <v>Ayudante</v>
      </c>
      <c r="E638" s="461"/>
      <c r="F638" s="97" t="str">
        <f>'MANO DE OBRA'!$C$2</f>
        <v>DIA</v>
      </c>
      <c r="G638" s="76">
        <v>2</v>
      </c>
      <c r="H638" s="101">
        <f>'MANO DE OBRA'!$D$3</f>
        <v>28981.77</v>
      </c>
      <c r="I638" s="102">
        <v>0.75649999999999995</v>
      </c>
      <c r="J638" s="103">
        <f>(H638+(H638*I638))</f>
        <v>50906.479005000001</v>
      </c>
      <c r="K638" s="76">
        <v>10</v>
      </c>
      <c r="L638" s="96">
        <f>G638*(J638/K638)</f>
        <v>10181.295801</v>
      </c>
    </row>
    <row r="639" spans="3:15" hidden="1" x14ac:dyDescent="0.25">
      <c r="C639" s="79"/>
      <c r="D639" s="460"/>
      <c r="E639" s="461"/>
      <c r="F639" s="97"/>
      <c r="G639" s="76"/>
      <c r="H639" s="101"/>
      <c r="I639" s="102"/>
      <c r="J639" s="103"/>
      <c r="K639" s="76"/>
      <c r="L639" s="96"/>
    </row>
    <row r="640" spans="3:15" hidden="1" x14ac:dyDescent="0.25">
      <c r="C640" s="90"/>
      <c r="D640" s="493"/>
      <c r="E640" s="493"/>
      <c r="F640" s="97"/>
      <c r="G640" s="76"/>
      <c r="H640" s="101"/>
      <c r="I640" s="102"/>
      <c r="J640" s="103"/>
      <c r="K640" s="76"/>
      <c r="L640" s="96"/>
    </row>
    <row r="641" spans="3:12" ht="13.5" hidden="1" thickBot="1" x14ac:dyDescent="0.3">
      <c r="C641" s="83"/>
      <c r="D641" s="485" t="s">
        <v>520</v>
      </c>
      <c r="E641" s="485"/>
      <c r="F641" s="485"/>
      <c r="G641" s="485"/>
      <c r="H641" s="485"/>
      <c r="I641" s="485"/>
      <c r="J641" s="485"/>
      <c r="K641" s="485"/>
      <c r="L641" s="98">
        <f>L639+L638</f>
        <v>10181.295801</v>
      </c>
    </row>
    <row r="642" spans="3:12" ht="13.5" hidden="1" thickBot="1" x14ac:dyDescent="0.3">
      <c r="C642" s="486"/>
      <c r="D642" s="487"/>
      <c r="E642" s="487"/>
      <c r="F642" s="487"/>
      <c r="G642" s="487"/>
      <c r="H642" s="487"/>
      <c r="I642" s="487"/>
      <c r="J642" s="487"/>
      <c r="K642" s="487"/>
      <c r="L642" s="488"/>
    </row>
    <row r="643" spans="3:12" ht="13.5" hidden="1" thickBot="1" x14ac:dyDescent="0.3">
      <c r="C643" s="489" t="s">
        <v>521</v>
      </c>
      <c r="D643" s="490"/>
      <c r="E643" s="490"/>
      <c r="F643" s="490"/>
      <c r="G643" s="490"/>
      <c r="H643" s="490"/>
      <c r="I643" s="490"/>
      <c r="J643" s="491"/>
      <c r="K643" s="145">
        <f>ROUND(L641+L634+L627+L619,0)</f>
        <v>44700</v>
      </c>
      <c r="L643" s="146"/>
    </row>
    <row r="644" spans="3:12" hidden="1" x14ac:dyDescent="0.25"/>
    <row r="645" spans="3:12" ht="13.5" hidden="1" thickBot="1" x14ac:dyDescent="0.3"/>
    <row r="646" spans="3:12" hidden="1" x14ac:dyDescent="0.25">
      <c r="C646" s="466" t="s">
        <v>495</v>
      </c>
      <c r="D646" s="467"/>
      <c r="E646" s="467"/>
      <c r="F646" s="467"/>
      <c r="G646" s="467"/>
      <c r="H646" s="467"/>
      <c r="I646" s="467"/>
      <c r="J646" s="467"/>
      <c r="K646" s="467"/>
      <c r="L646" s="468"/>
    </row>
    <row r="647" spans="3:12" ht="12.75" hidden="1" customHeight="1" x14ac:dyDescent="0.25">
      <c r="C647" s="469" t="str">
        <f>+PPTO!$A$2</f>
        <v>REPOSICION E INSTALACION VALVULAS DE SECTORIZACION EN DIFERENTES SECTORES DEL MUNICIPIO DE PIEDECUESTA - SANTANDER.</v>
      </c>
      <c r="D647" s="470"/>
      <c r="E647" s="470"/>
      <c r="F647" s="470"/>
      <c r="G647" s="470"/>
      <c r="H647" s="470"/>
      <c r="I647" s="470"/>
      <c r="J647" s="470"/>
      <c r="K647" s="470"/>
      <c r="L647" s="471"/>
    </row>
    <row r="648" spans="3:12" hidden="1" x14ac:dyDescent="0.25">
      <c r="C648" s="472" t="s">
        <v>496</v>
      </c>
      <c r="D648" s="141">
        <f>+PPTO!$A$20</f>
        <v>4</v>
      </c>
      <c r="E648" s="474" t="str">
        <f>+PPTO!$B$20</f>
        <v>SUMINISTRO E INSTALACION DE TUBERIAS Y ACCESORIOS.</v>
      </c>
      <c r="F648" s="475"/>
      <c r="G648" s="475"/>
      <c r="H648" s="475"/>
      <c r="I648" s="475"/>
      <c r="J648" s="475"/>
      <c r="K648" s="475"/>
      <c r="L648" s="70" t="s">
        <v>52</v>
      </c>
    </row>
    <row r="649" spans="3:12" ht="13.5" hidden="1" thickBot="1" x14ac:dyDescent="0.3">
      <c r="C649" s="473"/>
      <c r="D649" s="120">
        <f>+PPTO!A29</f>
        <v>4.09</v>
      </c>
      <c r="E649" s="476" t="str">
        <f>+PPTO!B29</f>
        <v xml:space="preserve">Suministro e instalación unión rápida  D=2" </v>
      </c>
      <c r="F649" s="476"/>
      <c r="G649" s="476"/>
      <c r="H649" s="476"/>
      <c r="I649" s="476"/>
      <c r="J649" s="476"/>
      <c r="K649" s="476"/>
      <c r="L649" s="71" t="str">
        <f>+PPTO!C29</f>
        <v>UND</v>
      </c>
    </row>
    <row r="650" spans="3:12" ht="13.5" hidden="1" thickBot="1" x14ac:dyDescent="0.3">
      <c r="C650" s="477"/>
      <c r="D650" s="478"/>
      <c r="E650" s="478"/>
      <c r="F650" s="478"/>
      <c r="G650" s="478"/>
      <c r="H650" s="478"/>
      <c r="I650" s="478"/>
      <c r="J650" s="478"/>
      <c r="K650" s="478"/>
      <c r="L650" s="479"/>
    </row>
    <row r="651" spans="3:12" hidden="1" x14ac:dyDescent="0.25">
      <c r="C651" s="466" t="s">
        <v>497</v>
      </c>
      <c r="D651" s="467"/>
      <c r="E651" s="467"/>
      <c r="F651" s="467"/>
      <c r="G651" s="467"/>
      <c r="H651" s="467"/>
      <c r="I651" s="467"/>
      <c r="J651" s="467"/>
      <c r="K651" s="467"/>
      <c r="L651" s="468"/>
    </row>
    <row r="652" spans="3:12" hidden="1" x14ac:dyDescent="0.25">
      <c r="C652" s="72" t="s">
        <v>66</v>
      </c>
      <c r="D652" s="492" t="s">
        <v>498</v>
      </c>
      <c r="E652" s="492"/>
      <c r="F652" s="492"/>
      <c r="G652" s="492"/>
      <c r="H652" s="492"/>
      <c r="I652" s="73" t="s">
        <v>499</v>
      </c>
      <c r="J652" s="74" t="s">
        <v>500</v>
      </c>
      <c r="K652" s="73" t="s">
        <v>501</v>
      </c>
      <c r="L652" s="70" t="s">
        <v>502</v>
      </c>
    </row>
    <row r="653" spans="3:12" hidden="1" x14ac:dyDescent="0.25">
      <c r="C653" s="75"/>
      <c r="D653" s="460"/>
      <c r="E653" s="499"/>
      <c r="F653" s="499"/>
      <c r="G653" s="499"/>
      <c r="H653" s="461"/>
      <c r="I653" s="76"/>
      <c r="J653" s="76"/>
      <c r="K653" s="77"/>
      <c r="L653" s="78"/>
    </row>
    <row r="654" spans="3:12" hidden="1" x14ac:dyDescent="0.25">
      <c r="C654" s="75"/>
      <c r="D654" s="493"/>
      <c r="E654" s="493"/>
      <c r="F654" s="493"/>
      <c r="G654" s="493"/>
      <c r="H654" s="493"/>
      <c r="I654" s="76"/>
      <c r="J654" s="80"/>
      <c r="K654" s="81"/>
      <c r="L654" s="78"/>
    </row>
    <row r="655" spans="3:12" hidden="1" x14ac:dyDescent="0.25">
      <c r="C655" s="79"/>
      <c r="D655" s="493" t="s">
        <v>503</v>
      </c>
      <c r="E655" s="493"/>
      <c r="F655" s="493"/>
      <c r="G655" s="493"/>
      <c r="H655" s="493"/>
      <c r="I655" s="76" t="s">
        <v>61</v>
      </c>
      <c r="J655" s="80">
        <v>1</v>
      </c>
      <c r="K655" s="81">
        <f>L678*0.1</f>
        <v>1018.1295801000001</v>
      </c>
      <c r="L655" s="82">
        <f>K655/J655</f>
        <v>1018.1295801000001</v>
      </c>
    </row>
    <row r="656" spans="3:12" ht="13.5" hidden="1" thickBot="1" x14ac:dyDescent="0.3">
      <c r="C656" s="83"/>
      <c r="D656" s="485" t="s">
        <v>504</v>
      </c>
      <c r="E656" s="485"/>
      <c r="F656" s="485"/>
      <c r="G656" s="485"/>
      <c r="H656" s="485"/>
      <c r="I656" s="485"/>
      <c r="J656" s="485"/>
      <c r="K656" s="485"/>
      <c r="L656" s="84">
        <f>SUM(L653:L655)</f>
        <v>1018.1295801000001</v>
      </c>
    </row>
    <row r="657" spans="3:15" ht="13.5" hidden="1" thickBot="1" x14ac:dyDescent="0.3">
      <c r="C657" s="477"/>
      <c r="D657" s="478"/>
      <c r="E657" s="478"/>
      <c r="F657" s="478"/>
      <c r="G657" s="478"/>
      <c r="H657" s="478"/>
      <c r="I657" s="478"/>
      <c r="J657" s="478"/>
      <c r="K657" s="478"/>
      <c r="L657" s="479"/>
    </row>
    <row r="658" spans="3:15" hidden="1" x14ac:dyDescent="0.25">
      <c r="C658" s="466" t="s">
        <v>505</v>
      </c>
      <c r="D658" s="467"/>
      <c r="E658" s="467"/>
      <c r="F658" s="467"/>
      <c r="G658" s="467"/>
      <c r="H658" s="467"/>
      <c r="I658" s="467"/>
      <c r="J658" s="467"/>
      <c r="K658" s="467"/>
      <c r="L658" s="468"/>
    </row>
    <row r="659" spans="3:15" ht="25.5" hidden="1" x14ac:dyDescent="0.25">
      <c r="C659" s="72" t="s">
        <v>66</v>
      </c>
      <c r="D659" s="492" t="s">
        <v>498</v>
      </c>
      <c r="E659" s="492"/>
      <c r="F659" s="492"/>
      <c r="G659" s="492"/>
      <c r="H659" s="73" t="s">
        <v>499</v>
      </c>
      <c r="I659" s="74" t="s">
        <v>506</v>
      </c>
      <c r="J659" s="73" t="s">
        <v>501</v>
      </c>
      <c r="K659" s="85" t="s">
        <v>507</v>
      </c>
      <c r="L659" s="70" t="s">
        <v>502</v>
      </c>
    </row>
    <row r="660" spans="3:15" hidden="1" x14ac:dyDescent="0.25">
      <c r="C660" s="113" t="s">
        <v>731</v>
      </c>
      <c r="D660" s="498" t="str">
        <f>+MATERIALES!$B$302</f>
        <v>Lubricante tarro</v>
      </c>
      <c r="E660" s="496"/>
      <c r="F660" s="496"/>
      <c r="G660" s="497"/>
      <c r="H660" s="73" t="str">
        <f>+MATERIALES!$C$302</f>
        <v>Kg</v>
      </c>
      <c r="I660" s="76">
        <v>0.01</v>
      </c>
      <c r="J660" s="86">
        <f>+MATERIALES!$D$302</f>
        <v>43900</v>
      </c>
      <c r="K660" s="87">
        <v>0.01</v>
      </c>
      <c r="L660" s="88">
        <f>I660*J660*(1+K660)</f>
        <v>443.39</v>
      </c>
    </row>
    <row r="661" spans="3:15" hidden="1" x14ac:dyDescent="0.25">
      <c r="C661" s="90" t="s">
        <v>732</v>
      </c>
      <c r="D661" s="498" t="str">
        <f>+MATERIALES!$B$303</f>
        <v>Limpiador PVC 760 grms</v>
      </c>
      <c r="E661" s="496"/>
      <c r="F661" s="496"/>
      <c r="G661" s="497"/>
      <c r="H661" s="73" t="str">
        <f>+MATERIALES!$C$303</f>
        <v>und</v>
      </c>
      <c r="I661" s="76">
        <v>0.05</v>
      </c>
      <c r="J661" s="86">
        <f>+MATERIALES!$D$303</f>
        <v>40900</v>
      </c>
      <c r="K661" s="87">
        <v>0.01</v>
      </c>
      <c r="L661" s="88">
        <f>I661*J661*(1+K661)</f>
        <v>2065.4499999999998</v>
      </c>
    </row>
    <row r="662" spans="3:15" hidden="1" x14ac:dyDescent="0.25">
      <c r="C662" s="90" t="s">
        <v>733</v>
      </c>
      <c r="D662" s="498" t="str">
        <f>+MATERIALES!$B$304</f>
        <v>Soldadura PVC 1/4 galon</v>
      </c>
      <c r="E662" s="496"/>
      <c r="F662" s="496"/>
      <c r="G662" s="497"/>
      <c r="H662" s="73" t="str">
        <f>+MATERIALES!$C$304</f>
        <v>und</v>
      </c>
      <c r="I662" s="76">
        <v>0.05</v>
      </c>
      <c r="J662" s="86">
        <f>+MATERIALES!$D$304</f>
        <v>84900</v>
      </c>
      <c r="K662" s="87">
        <v>0.01</v>
      </c>
      <c r="L662" s="88">
        <f>I662*J662*(1+K662)</f>
        <v>4287.45</v>
      </c>
    </row>
    <row r="663" spans="3:15" hidden="1" x14ac:dyDescent="0.25">
      <c r="C663" s="113" t="s">
        <v>724</v>
      </c>
      <c r="D663" s="498" t="str">
        <f>+MATERIALES!B296</f>
        <v xml:space="preserve">unión rápida  D=2" </v>
      </c>
      <c r="E663" s="496"/>
      <c r="F663" s="496"/>
      <c r="G663" s="497"/>
      <c r="H663" s="73" t="str">
        <f>+MATERIALES!C296</f>
        <v>und</v>
      </c>
      <c r="I663" s="91">
        <v>1</v>
      </c>
      <c r="J663" s="86">
        <f>+MATERIALES!D296</f>
        <v>8104</v>
      </c>
      <c r="K663" s="93">
        <v>0</v>
      </c>
      <c r="L663" s="88">
        <f>I663*J663*(1+K663)</f>
        <v>8104</v>
      </c>
    </row>
    <row r="664" spans="3:15" ht="13.5" hidden="1" thickBot="1" x14ac:dyDescent="0.3">
      <c r="C664" s="94"/>
      <c r="D664" s="485" t="s">
        <v>508</v>
      </c>
      <c r="E664" s="485"/>
      <c r="F664" s="485"/>
      <c r="G664" s="485"/>
      <c r="H664" s="485"/>
      <c r="I664" s="485"/>
      <c r="J664" s="485"/>
      <c r="K664" s="485"/>
      <c r="L664" s="84">
        <f>SUM(L660:L663)</f>
        <v>14900.289999999999</v>
      </c>
    </row>
    <row r="665" spans="3:15" ht="13.5" hidden="1" thickBot="1" x14ac:dyDescent="0.3">
      <c r="C665" s="486"/>
      <c r="D665" s="487"/>
      <c r="E665" s="487"/>
      <c r="F665" s="487"/>
      <c r="G665" s="487"/>
      <c r="H665" s="487"/>
      <c r="I665" s="487"/>
      <c r="J665" s="487"/>
      <c r="K665" s="487"/>
      <c r="L665" s="488"/>
    </row>
    <row r="666" spans="3:15" hidden="1" x14ac:dyDescent="0.25">
      <c r="C666" s="466" t="s">
        <v>509</v>
      </c>
      <c r="D666" s="467"/>
      <c r="E666" s="467"/>
      <c r="F666" s="467"/>
      <c r="G666" s="467"/>
      <c r="H666" s="467"/>
      <c r="I666" s="467"/>
      <c r="J666" s="467"/>
      <c r="K666" s="467"/>
      <c r="L666" s="468"/>
    </row>
    <row r="667" spans="3:15" hidden="1" x14ac:dyDescent="0.25">
      <c r="C667" s="72" t="s">
        <v>66</v>
      </c>
      <c r="D667" s="492" t="s">
        <v>498</v>
      </c>
      <c r="E667" s="492"/>
      <c r="F667" s="492"/>
      <c r="G667" s="492"/>
      <c r="H667" s="73" t="s">
        <v>506</v>
      </c>
      <c r="I667" s="73" t="s">
        <v>499</v>
      </c>
      <c r="J667" s="74" t="s">
        <v>510</v>
      </c>
      <c r="K667" s="85" t="s">
        <v>511</v>
      </c>
      <c r="L667" s="70" t="s">
        <v>502</v>
      </c>
    </row>
    <row r="668" spans="3:15" hidden="1" x14ac:dyDescent="0.25">
      <c r="C668" s="90"/>
      <c r="D668" s="494"/>
      <c r="E668" s="494"/>
      <c r="F668" s="494"/>
      <c r="G668" s="494"/>
      <c r="H668" s="76"/>
      <c r="I668" s="97"/>
      <c r="J668" s="97"/>
      <c r="K668" s="95"/>
      <c r="L668" s="96"/>
    </row>
    <row r="669" spans="3:15" hidden="1" x14ac:dyDescent="0.25">
      <c r="C669" s="90"/>
      <c r="D669" s="495"/>
      <c r="E669" s="495"/>
      <c r="F669" s="495"/>
      <c r="G669" s="495"/>
      <c r="H669" s="76"/>
      <c r="I669" s="97"/>
      <c r="J669" s="97"/>
      <c r="K669" s="95"/>
      <c r="L669" s="96"/>
    </row>
    <row r="670" spans="3:15" hidden="1" x14ac:dyDescent="0.25">
      <c r="C670" s="90"/>
      <c r="D670" s="495"/>
      <c r="E670" s="495"/>
      <c r="F670" s="495"/>
      <c r="G670" s="495"/>
      <c r="H670" s="76"/>
      <c r="I670" s="97"/>
      <c r="J670" s="97"/>
      <c r="K670" s="95"/>
      <c r="L670" s="96"/>
    </row>
    <row r="671" spans="3:15" ht="13.5" hidden="1" thickBot="1" x14ac:dyDescent="0.3">
      <c r="C671" s="83"/>
      <c r="D671" s="485" t="s">
        <v>512</v>
      </c>
      <c r="E671" s="485"/>
      <c r="F671" s="485"/>
      <c r="G671" s="485"/>
      <c r="H671" s="485"/>
      <c r="I671" s="485"/>
      <c r="J671" s="485"/>
      <c r="K671" s="485"/>
      <c r="L671" s="98">
        <f>L668</f>
        <v>0</v>
      </c>
    </row>
    <row r="672" spans="3:15" ht="13.5" hidden="1" thickBot="1" x14ac:dyDescent="0.3">
      <c r="C672" s="477"/>
      <c r="D672" s="478"/>
      <c r="E672" s="478"/>
      <c r="F672" s="478"/>
      <c r="G672" s="478"/>
      <c r="H672" s="478"/>
      <c r="I672" s="478"/>
      <c r="J672" s="478"/>
      <c r="K672" s="478"/>
      <c r="L672" s="479"/>
      <c r="O672" s="119">
        <f>26100-(L678+L656+L660+L661+L662)</f>
        <v>8104.2846189000011</v>
      </c>
    </row>
    <row r="673" spans="3:12" hidden="1" x14ac:dyDescent="0.25">
      <c r="C673" s="466" t="s">
        <v>513</v>
      </c>
      <c r="D673" s="467"/>
      <c r="E673" s="467"/>
      <c r="F673" s="467"/>
      <c r="G673" s="467"/>
      <c r="H673" s="467"/>
      <c r="I673" s="467"/>
      <c r="J673" s="467"/>
      <c r="K673" s="467"/>
      <c r="L673" s="468"/>
    </row>
    <row r="674" spans="3:12" hidden="1" x14ac:dyDescent="0.25">
      <c r="C674" s="72" t="s">
        <v>66</v>
      </c>
      <c r="D674" s="492" t="s">
        <v>498</v>
      </c>
      <c r="E674" s="492"/>
      <c r="F674" s="85" t="s">
        <v>499</v>
      </c>
      <c r="G674" s="85" t="s">
        <v>506</v>
      </c>
      <c r="H674" s="73" t="s">
        <v>514</v>
      </c>
      <c r="I674" s="99" t="s">
        <v>515</v>
      </c>
      <c r="J674" s="85" t="s">
        <v>516</v>
      </c>
      <c r="K674" s="99" t="s">
        <v>517</v>
      </c>
      <c r="L674" s="100" t="s">
        <v>502</v>
      </c>
    </row>
    <row r="675" spans="3:12" hidden="1" x14ac:dyDescent="0.25">
      <c r="C675" s="79" t="s">
        <v>519</v>
      </c>
      <c r="D675" s="460" t="str">
        <f>'MANO DE OBRA'!$B$3</f>
        <v>Ayudante</v>
      </c>
      <c r="E675" s="461"/>
      <c r="F675" s="97" t="str">
        <f>'MANO DE OBRA'!$C$2</f>
        <v>DIA</v>
      </c>
      <c r="G675" s="76">
        <v>2</v>
      </c>
      <c r="H675" s="101">
        <f>'MANO DE OBRA'!$D$3</f>
        <v>28981.77</v>
      </c>
      <c r="I675" s="102">
        <v>0.75649999999999995</v>
      </c>
      <c r="J675" s="103">
        <f>(H675+(H675*I675))</f>
        <v>50906.479005000001</v>
      </c>
      <c r="K675" s="76">
        <v>10</v>
      </c>
      <c r="L675" s="96">
        <f>G675*(J675/K675)</f>
        <v>10181.295801</v>
      </c>
    </row>
    <row r="676" spans="3:12" hidden="1" x14ac:dyDescent="0.25">
      <c r="C676" s="79"/>
      <c r="D676" s="460"/>
      <c r="E676" s="461"/>
      <c r="F676" s="97"/>
      <c r="G676" s="76"/>
      <c r="H676" s="101"/>
      <c r="I676" s="102"/>
      <c r="J676" s="103"/>
      <c r="K676" s="76"/>
      <c r="L676" s="96"/>
    </row>
    <row r="677" spans="3:12" hidden="1" x14ac:dyDescent="0.25">
      <c r="C677" s="90"/>
      <c r="D677" s="493"/>
      <c r="E677" s="493"/>
      <c r="F677" s="97"/>
      <c r="G677" s="76"/>
      <c r="H677" s="101"/>
      <c r="I677" s="102"/>
      <c r="J677" s="103"/>
      <c r="K677" s="76"/>
      <c r="L677" s="96"/>
    </row>
    <row r="678" spans="3:12" ht="13.5" hidden="1" thickBot="1" x14ac:dyDescent="0.3">
      <c r="C678" s="83"/>
      <c r="D678" s="485" t="s">
        <v>520</v>
      </c>
      <c r="E678" s="485"/>
      <c r="F678" s="485"/>
      <c r="G678" s="485"/>
      <c r="H678" s="485"/>
      <c r="I678" s="485"/>
      <c r="J678" s="485"/>
      <c r="K678" s="485"/>
      <c r="L678" s="98">
        <f>L676+L675</f>
        <v>10181.295801</v>
      </c>
    </row>
    <row r="679" spans="3:12" ht="13.5" hidden="1" thickBot="1" x14ac:dyDescent="0.3">
      <c r="C679" s="486"/>
      <c r="D679" s="487"/>
      <c r="E679" s="487"/>
      <c r="F679" s="487"/>
      <c r="G679" s="487"/>
      <c r="H679" s="487"/>
      <c r="I679" s="487"/>
      <c r="J679" s="487"/>
      <c r="K679" s="487"/>
      <c r="L679" s="488"/>
    </row>
    <row r="680" spans="3:12" ht="13.5" hidden="1" thickBot="1" x14ac:dyDescent="0.3">
      <c r="C680" s="489" t="s">
        <v>521</v>
      </c>
      <c r="D680" s="490"/>
      <c r="E680" s="490"/>
      <c r="F680" s="490"/>
      <c r="G680" s="490"/>
      <c r="H680" s="490"/>
      <c r="I680" s="490"/>
      <c r="J680" s="491"/>
      <c r="K680" s="145">
        <f>ROUND(L678+L671+L664+L656,0)</f>
        <v>26100</v>
      </c>
      <c r="L680" s="146"/>
    </row>
    <row r="681" spans="3:12" hidden="1" x14ac:dyDescent="0.25"/>
    <row r="682" spans="3:12" ht="13.5" hidden="1" thickBot="1" x14ac:dyDescent="0.3"/>
    <row r="683" spans="3:12" hidden="1" x14ac:dyDescent="0.25">
      <c r="C683" s="466" t="s">
        <v>495</v>
      </c>
      <c r="D683" s="467"/>
      <c r="E683" s="467"/>
      <c r="F683" s="467"/>
      <c r="G683" s="467"/>
      <c r="H683" s="467"/>
      <c r="I683" s="467"/>
      <c r="J683" s="467"/>
      <c r="K683" s="467"/>
      <c r="L683" s="468"/>
    </row>
    <row r="684" spans="3:12" ht="12.75" hidden="1" customHeight="1" x14ac:dyDescent="0.25">
      <c r="C684" s="469" t="str">
        <f>+PPTO!$A$2</f>
        <v>REPOSICION E INSTALACION VALVULAS DE SECTORIZACION EN DIFERENTES SECTORES DEL MUNICIPIO DE PIEDECUESTA - SANTANDER.</v>
      </c>
      <c r="D684" s="470"/>
      <c r="E684" s="470"/>
      <c r="F684" s="470"/>
      <c r="G684" s="470"/>
      <c r="H684" s="470"/>
      <c r="I684" s="470"/>
      <c r="J684" s="470"/>
      <c r="K684" s="470"/>
      <c r="L684" s="471"/>
    </row>
    <row r="685" spans="3:12" hidden="1" x14ac:dyDescent="0.25">
      <c r="C685" s="472" t="s">
        <v>496</v>
      </c>
      <c r="D685" s="141">
        <f>+PPTO!$A$20</f>
        <v>4</v>
      </c>
      <c r="E685" s="474" t="str">
        <f>+PPTO!$B$20</f>
        <v>SUMINISTRO E INSTALACION DE TUBERIAS Y ACCESORIOS.</v>
      </c>
      <c r="F685" s="475"/>
      <c r="G685" s="475"/>
      <c r="H685" s="475"/>
      <c r="I685" s="475"/>
      <c r="J685" s="475"/>
      <c r="K685" s="475"/>
      <c r="L685" s="70" t="s">
        <v>52</v>
      </c>
    </row>
    <row r="686" spans="3:12" ht="13.5" hidden="1" thickBot="1" x14ac:dyDescent="0.3">
      <c r="C686" s="473"/>
      <c r="D686" s="120">
        <f>+PPTO!A30</f>
        <v>4.0999999999999996</v>
      </c>
      <c r="E686" s="476" t="str">
        <f>+PPTO!B30</f>
        <v xml:space="preserve">Suministro e instalación unión rápida  D=4" </v>
      </c>
      <c r="F686" s="476"/>
      <c r="G686" s="476"/>
      <c r="H686" s="476"/>
      <c r="I686" s="476"/>
      <c r="J686" s="476"/>
      <c r="K686" s="476"/>
      <c r="L686" s="71" t="str">
        <f>+PPTO!C30</f>
        <v>UND</v>
      </c>
    </row>
    <row r="687" spans="3:12" ht="13.5" hidden="1" thickBot="1" x14ac:dyDescent="0.3">
      <c r="C687" s="477"/>
      <c r="D687" s="478"/>
      <c r="E687" s="478"/>
      <c r="F687" s="478"/>
      <c r="G687" s="478"/>
      <c r="H687" s="478"/>
      <c r="I687" s="478"/>
      <c r="J687" s="478"/>
      <c r="K687" s="478"/>
      <c r="L687" s="479"/>
    </row>
    <row r="688" spans="3:12" hidden="1" x14ac:dyDescent="0.25">
      <c r="C688" s="466" t="s">
        <v>497</v>
      </c>
      <c r="D688" s="467"/>
      <c r="E688" s="467"/>
      <c r="F688" s="467"/>
      <c r="G688" s="467"/>
      <c r="H688" s="467"/>
      <c r="I688" s="467"/>
      <c r="J688" s="467"/>
      <c r="K688" s="467"/>
      <c r="L688" s="468"/>
    </row>
    <row r="689" spans="3:12" hidden="1" x14ac:dyDescent="0.25">
      <c r="C689" s="72" t="s">
        <v>66</v>
      </c>
      <c r="D689" s="492" t="s">
        <v>498</v>
      </c>
      <c r="E689" s="492"/>
      <c r="F689" s="492"/>
      <c r="G689" s="492"/>
      <c r="H689" s="492"/>
      <c r="I689" s="73" t="s">
        <v>499</v>
      </c>
      <c r="J689" s="74" t="s">
        <v>500</v>
      </c>
      <c r="K689" s="73" t="s">
        <v>501</v>
      </c>
      <c r="L689" s="70" t="s">
        <v>502</v>
      </c>
    </row>
    <row r="690" spans="3:12" hidden="1" x14ac:dyDescent="0.25">
      <c r="C690" s="75"/>
      <c r="D690" s="460"/>
      <c r="E690" s="499"/>
      <c r="F690" s="499"/>
      <c r="G690" s="499"/>
      <c r="H690" s="461"/>
      <c r="I690" s="76"/>
      <c r="J690" s="76"/>
      <c r="K690" s="77"/>
      <c r="L690" s="78"/>
    </row>
    <row r="691" spans="3:12" hidden="1" x14ac:dyDescent="0.25">
      <c r="C691" s="75"/>
      <c r="D691" s="493"/>
      <c r="E691" s="493"/>
      <c r="F691" s="493"/>
      <c r="G691" s="493"/>
      <c r="H691" s="493"/>
      <c r="I691" s="76"/>
      <c r="J691" s="80"/>
      <c r="K691" s="81"/>
      <c r="L691" s="78"/>
    </row>
    <row r="692" spans="3:12" hidden="1" x14ac:dyDescent="0.25">
      <c r="C692" s="79"/>
      <c r="D692" s="493" t="s">
        <v>503</v>
      </c>
      <c r="E692" s="493"/>
      <c r="F692" s="493"/>
      <c r="G692" s="493"/>
      <c r="H692" s="493"/>
      <c r="I692" s="76" t="s">
        <v>61</v>
      </c>
      <c r="J692" s="80">
        <v>1</v>
      </c>
      <c r="K692" s="81">
        <f>L715*0.1</f>
        <v>1272.661975125</v>
      </c>
      <c r="L692" s="82">
        <f>K692/J692</f>
        <v>1272.661975125</v>
      </c>
    </row>
    <row r="693" spans="3:12" ht="13.5" hidden="1" thickBot="1" x14ac:dyDescent="0.3">
      <c r="C693" s="83"/>
      <c r="D693" s="485" t="s">
        <v>504</v>
      </c>
      <c r="E693" s="485"/>
      <c r="F693" s="485"/>
      <c r="G693" s="485"/>
      <c r="H693" s="485"/>
      <c r="I693" s="485"/>
      <c r="J693" s="485"/>
      <c r="K693" s="485"/>
      <c r="L693" s="84">
        <f>SUM(L690:L692)</f>
        <v>1272.661975125</v>
      </c>
    </row>
    <row r="694" spans="3:12" ht="13.5" hidden="1" thickBot="1" x14ac:dyDescent="0.3">
      <c r="C694" s="477"/>
      <c r="D694" s="478"/>
      <c r="E694" s="478"/>
      <c r="F694" s="478"/>
      <c r="G694" s="478"/>
      <c r="H694" s="478"/>
      <c r="I694" s="478"/>
      <c r="J694" s="478"/>
      <c r="K694" s="478"/>
      <c r="L694" s="479"/>
    </row>
    <row r="695" spans="3:12" hidden="1" x14ac:dyDescent="0.25">
      <c r="C695" s="466" t="s">
        <v>505</v>
      </c>
      <c r="D695" s="467"/>
      <c r="E695" s="467"/>
      <c r="F695" s="467"/>
      <c r="G695" s="467"/>
      <c r="H695" s="467"/>
      <c r="I695" s="467"/>
      <c r="J695" s="467"/>
      <c r="K695" s="467"/>
      <c r="L695" s="468"/>
    </row>
    <row r="696" spans="3:12" ht="25.5" hidden="1" x14ac:dyDescent="0.25">
      <c r="C696" s="72" t="s">
        <v>66</v>
      </c>
      <c r="D696" s="492" t="s">
        <v>498</v>
      </c>
      <c r="E696" s="492"/>
      <c r="F696" s="492"/>
      <c r="G696" s="492"/>
      <c r="H696" s="73" t="s">
        <v>499</v>
      </c>
      <c r="I696" s="74" t="s">
        <v>506</v>
      </c>
      <c r="J696" s="73" t="s">
        <v>501</v>
      </c>
      <c r="K696" s="85" t="s">
        <v>507</v>
      </c>
      <c r="L696" s="70" t="s">
        <v>502</v>
      </c>
    </row>
    <row r="697" spans="3:12" hidden="1" x14ac:dyDescent="0.25">
      <c r="C697" s="113" t="s">
        <v>731</v>
      </c>
      <c r="D697" s="498" t="str">
        <f>+MATERIALES!$B$302</f>
        <v>Lubricante tarro</v>
      </c>
      <c r="E697" s="496"/>
      <c r="F697" s="496"/>
      <c r="G697" s="497"/>
      <c r="H697" s="73" t="str">
        <f>+MATERIALES!$C$302</f>
        <v>Kg</v>
      </c>
      <c r="I697" s="76">
        <v>0.01</v>
      </c>
      <c r="J697" s="86">
        <f>+MATERIALES!$D$302</f>
        <v>43900</v>
      </c>
      <c r="K697" s="87">
        <v>0.01</v>
      </c>
      <c r="L697" s="88">
        <f>I697*J697*(1+K697)</f>
        <v>443.39</v>
      </c>
    </row>
    <row r="698" spans="3:12" hidden="1" x14ac:dyDescent="0.25">
      <c r="C698" s="90" t="s">
        <v>732</v>
      </c>
      <c r="D698" s="498" t="str">
        <f>+MATERIALES!$B$303</f>
        <v>Limpiador PVC 760 grms</v>
      </c>
      <c r="E698" s="496"/>
      <c r="F698" s="496"/>
      <c r="G698" s="497"/>
      <c r="H698" s="73" t="str">
        <f>+MATERIALES!$C$303</f>
        <v>und</v>
      </c>
      <c r="I698" s="76">
        <v>0.05</v>
      </c>
      <c r="J698" s="86">
        <f>+MATERIALES!$D$303</f>
        <v>40900</v>
      </c>
      <c r="K698" s="87">
        <v>0.01</v>
      </c>
      <c r="L698" s="88">
        <f>I698*J698*(1+K698)</f>
        <v>2065.4499999999998</v>
      </c>
    </row>
    <row r="699" spans="3:12" hidden="1" x14ac:dyDescent="0.25">
      <c r="C699" s="90" t="s">
        <v>733</v>
      </c>
      <c r="D699" s="498" t="str">
        <f>+MATERIALES!$B$304</f>
        <v>Soldadura PVC 1/4 galon</v>
      </c>
      <c r="E699" s="496"/>
      <c r="F699" s="496"/>
      <c r="G699" s="497"/>
      <c r="H699" s="73" t="str">
        <f>+MATERIALES!$C$304</f>
        <v>und</v>
      </c>
      <c r="I699" s="76">
        <v>0.05</v>
      </c>
      <c r="J699" s="86">
        <f>+MATERIALES!$D$304</f>
        <v>84900</v>
      </c>
      <c r="K699" s="87">
        <v>0.01</v>
      </c>
      <c r="L699" s="88">
        <f>I699*J699*(1+K699)</f>
        <v>4287.45</v>
      </c>
    </row>
    <row r="700" spans="3:12" hidden="1" x14ac:dyDescent="0.25">
      <c r="C700" s="113" t="s">
        <v>725</v>
      </c>
      <c r="D700" s="498" t="str">
        <f>+MATERIALES!B297</f>
        <v xml:space="preserve">unión rápida  D=4" </v>
      </c>
      <c r="E700" s="496"/>
      <c r="F700" s="496"/>
      <c r="G700" s="497"/>
      <c r="H700" s="73" t="str">
        <f>+MATERIALES!C297</f>
        <v>und</v>
      </c>
      <c r="I700" s="91">
        <v>1</v>
      </c>
      <c r="J700" s="86">
        <f>+MATERIALES!D297</f>
        <v>51804</v>
      </c>
      <c r="K700" s="93">
        <v>0</v>
      </c>
      <c r="L700" s="88">
        <f>I700*J700*(1+K700)</f>
        <v>51804</v>
      </c>
    </row>
    <row r="701" spans="3:12" ht="13.5" hidden="1" thickBot="1" x14ac:dyDescent="0.3">
      <c r="C701" s="94"/>
      <c r="D701" s="485" t="s">
        <v>508</v>
      </c>
      <c r="E701" s="485"/>
      <c r="F701" s="485"/>
      <c r="G701" s="485"/>
      <c r="H701" s="485"/>
      <c r="I701" s="485"/>
      <c r="J701" s="485"/>
      <c r="K701" s="485"/>
      <c r="L701" s="84">
        <f>SUM(L697:L700)</f>
        <v>58600.29</v>
      </c>
    </row>
    <row r="702" spans="3:12" ht="13.5" hidden="1" thickBot="1" x14ac:dyDescent="0.3">
      <c r="C702" s="486"/>
      <c r="D702" s="487"/>
      <c r="E702" s="487"/>
      <c r="F702" s="487"/>
      <c r="G702" s="487"/>
      <c r="H702" s="487"/>
      <c r="I702" s="487"/>
      <c r="J702" s="487"/>
      <c r="K702" s="487"/>
      <c r="L702" s="488"/>
    </row>
    <row r="703" spans="3:12" hidden="1" x14ac:dyDescent="0.25">
      <c r="C703" s="466" t="s">
        <v>509</v>
      </c>
      <c r="D703" s="467"/>
      <c r="E703" s="467"/>
      <c r="F703" s="467"/>
      <c r="G703" s="467"/>
      <c r="H703" s="467"/>
      <c r="I703" s="467"/>
      <c r="J703" s="467"/>
      <c r="K703" s="467"/>
      <c r="L703" s="468"/>
    </row>
    <row r="704" spans="3:12" hidden="1" x14ac:dyDescent="0.25">
      <c r="C704" s="72" t="s">
        <v>66</v>
      </c>
      <c r="D704" s="492" t="s">
        <v>498</v>
      </c>
      <c r="E704" s="492"/>
      <c r="F704" s="492"/>
      <c r="G704" s="492"/>
      <c r="H704" s="73" t="s">
        <v>506</v>
      </c>
      <c r="I704" s="73" t="s">
        <v>499</v>
      </c>
      <c r="J704" s="74" t="s">
        <v>510</v>
      </c>
      <c r="K704" s="85" t="s">
        <v>511</v>
      </c>
      <c r="L704" s="70" t="s">
        <v>502</v>
      </c>
    </row>
    <row r="705" spans="3:15" hidden="1" x14ac:dyDescent="0.25">
      <c r="C705" s="90"/>
      <c r="D705" s="494"/>
      <c r="E705" s="494"/>
      <c r="F705" s="494"/>
      <c r="G705" s="494"/>
      <c r="H705" s="76"/>
      <c r="I705" s="97"/>
      <c r="J705" s="97"/>
      <c r="K705" s="95"/>
      <c r="L705" s="96"/>
    </row>
    <row r="706" spans="3:15" hidden="1" x14ac:dyDescent="0.25">
      <c r="C706" s="90"/>
      <c r="D706" s="495"/>
      <c r="E706" s="495"/>
      <c r="F706" s="495"/>
      <c r="G706" s="495"/>
      <c r="H706" s="76"/>
      <c r="I706" s="97"/>
      <c r="J706" s="97"/>
      <c r="K706" s="95"/>
      <c r="L706" s="96"/>
    </row>
    <row r="707" spans="3:15" hidden="1" x14ac:dyDescent="0.25">
      <c r="C707" s="90"/>
      <c r="D707" s="495"/>
      <c r="E707" s="495"/>
      <c r="F707" s="495"/>
      <c r="G707" s="495"/>
      <c r="H707" s="76"/>
      <c r="I707" s="97"/>
      <c r="J707" s="97"/>
      <c r="K707" s="95"/>
      <c r="L707" s="96"/>
    </row>
    <row r="708" spans="3:15" ht="13.5" hidden="1" thickBot="1" x14ac:dyDescent="0.3">
      <c r="C708" s="83"/>
      <c r="D708" s="485" t="s">
        <v>512</v>
      </c>
      <c r="E708" s="485"/>
      <c r="F708" s="485"/>
      <c r="G708" s="485"/>
      <c r="H708" s="485"/>
      <c r="I708" s="485"/>
      <c r="J708" s="485"/>
      <c r="K708" s="485"/>
      <c r="L708" s="98">
        <f>L705</f>
        <v>0</v>
      </c>
    </row>
    <row r="709" spans="3:15" ht="13.5" hidden="1" thickBot="1" x14ac:dyDescent="0.3">
      <c r="C709" s="477"/>
      <c r="D709" s="478"/>
      <c r="E709" s="478"/>
      <c r="F709" s="478"/>
      <c r="G709" s="478"/>
      <c r="H709" s="478"/>
      <c r="I709" s="478"/>
      <c r="J709" s="478"/>
      <c r="K709" s="478"/>
      <c r="L709" s="479"/>
      <c r="O709" s="119">
        <f>72600-(L715+L693+L697+L698+L699)</f>
        <v>51804.428273625002</v>
      </c>
    </row>
    <row r="710" spans="3:15" hidden="1" x14ac:dyDescent="0.25">
      <c r="C710" s="466" t="s">
        <v>513</v>
      </c>
      <c r="D710" s="467"/>
      <c r="E710" s="467"/>
      <c r="F710" s="467"/>
      <c r="G710" s="467"/>
      <c r="H710" s="467"/>
      <c r="I710" s="467"/>
      <c r="J710" s="467"/>
      <c r="K710" s="467"/>
      <c r="L710" s="468"/>
    </row>
    <row r="711" spans="3:15" hidden="1" x14ac:dyDescent="0.25">
      <c r="C711" s="72" t="s">
        <v>66</v>
      </c>
      <c r="D711" s="492" t="s">
        <v>498</v>
      </c>
      <c r="E711" s="492"/>
      <c r="F711" s="85" t="s">
        <v>499</v>
      </c>
      <c r="G711" s="85" t="s">
        <v>506</v>
      </c>
      <c r="H711" s="73" t="s">
        <v>514</v>
      </c>
      <c r="I711" s="99" t="s">
        <v>515</v>
      </c>
      <c r="J711" s="85" t="s">
        <v>516</v>
      </c>
      <c r="K711" s="99" t="s">
        <v>517</v>
      </c>
      <c r="L711" s="100" t="s">
        <v>502</v>
      </c>
    </row>
    <row r="712" spans="3:15" hidden="1" x14ac:dyDescent="0.25">
      <c r="C712" s="79" t="s">
        <v>519</v>
      </c>
      <c r="D712" s="460" t="str">
        <f>'MANO DE OBRA'!$B$3</f>
        <v>Ayudante</v>
      </c>
      <c r="E712" s="461"/>
      <c r="F712" s="97" t="str">
        <f>'MANO DE OBRA'!$C$2</f>
        <v>DIA</v>
      </c>
      <c r="G712" s="76">
        <v>2</v>
      </c>
      <c r="H712" s="101">
        <f>'MANO DE OBRA'!$D$3</f>
        <v>28981.77</v>
      </c>
      <c r="I712" s="102">
        <v>0.75649999999999995</v>
      </c>
      <c r="J712" s="103">
        <f>(H712+(H712*I712))</f>
        <v>50906.479005000001</v>
      </c>
      <c r="K712" s="76">
        <v>8</v>
      </c>
      <c r="L712" s="96">
        <f>G712*(J712/K712)</f>
        <v>12726.61975125</v>
      </c>
    </row>
    <row r="713" spans="3:15" hidden="1" x14ac:dyDescent="0.25">
      <c r="C713" s="79"/>
      <c r="D713" s="460"/>
      <c r="E713" s="461"/>
      <c r="F713" s="97"/>
      <c r="G713" s="76"/>
      <c r="H713" s="101"/>
      <c r="I713" s="102"/>
      <c r="J713" s="103"/>
      <c r="K713" s="76"/>
      <c r="L713" s="96"/>
    </row>
    <row r="714" spans="3:15" hidden="1" x14ac:dyDescent="0.25">
      <c r="C714" s="90"/>
      <c r="D714" s="493"/>
      <c r="E714" s="493"/>
      <c r="F714" s="97"/>
      <c r="G714" s="76"/>
      <c r="H714" s="101"/>
      <c r="I714" s="102"/>
      <c r="J714" s="103"/>
      <c r="K714" s="76"/>
      <c r="L714" s="96"/>
    </row>
    <row r="715" spans="3:15" ht="13.5" hidden="1" thickBot="1" x14ac:dyDescent="0.3">
      <c r="C715" s="83"/>
      <c r="D715" s="485" t="s">
        <v>520</v>
      </c>
      <c r="E715" s="485"/>
      <c r="F715" s="485"/>
      <c r="G715" s="485"/>
      <c r="H715" s="485"/>
      <c r="I715" s="485"/>
      <c r="J715" s="485"/>
      <c r="K715" s="485"/>
      <c r="L715" s="98">
        <f>L713+L712</f>
        <v>12726.61975125</v>
      </c>
    </row>
    <row r="716" spans="3:15" ht="13.5" hidden="1" thickBot="1" x14ac:dyDescent="0.3">
      <c r="C716" s="486"/>
      <c r="D716" s="487"/>
      <c r="E716" s="487"/>
      <c r="F716" s="487"/>
      <c r="G716" s="487"/>
      <c r="H716" s="487"/>
      <c r="I716" s="487"/>
      <c r="J716" s="487"/>
      <c r="K716" s="487"/>
      <c r="L716" s="488"/>
    </row>
    <row r="717" spans="3:15" ht="13.5" hidden="1" thickBot="1" x14ac:dyDescent="0.3">
      <c r="C717" s="489" t="s">
        <v>521</v>
      </c>
      <c r="D717" s="490"/>
      <c r="E717" s="490"/>
      <c r="F717" s="490"/>
      <c r="G717" s="490"/>
      <c r="H717" s="490"/>
      <c r="I717" s="490"/>
      <c r="J717" s="491"/>
      <c r="K717" s="145">
        <f>ROUND(L715+L708+L701+L693,0)</f>
        <v>72600</v>
      </c>
      <c r="L717" s="146"/>
    </row>
    <row r="718" spans="3:15" hidden="1" x14ac:dyDescent="0.25"/>
    <row r="719" spans="3:15" ht="13.5" hidden="1" thickBot="1" x14ac:dyDescent="0.3"/>
    <row r="720" spans="3:15" hidden="1" x14ac:dyDescent="0.25">
      <c r="C720" s="466" t="s">
        <v>495</v>
      </c>
      <c r="D720" s="467"/>
      <c r="E720" s="467"/>
      <c r="F720" s="467"/>
      <c r="G720" s="467"/>
      <c r="H720" s="467"/>
      <c r="I720" s="467"/>
      <c r="J720" s="467"/>
      <c r="K720" s="467"/>
      <c r="L720" s="468"/>
    </row>
    <row r="721" spans="3:12" ht="12.75" hidden="1" customHeight="1" x14ac:dyDescent="0.25">
      <c r="C721" s="469" t="str">
        <f>+PPTO!$A$2</f>
        <v>REPOSICION E INSTALACION VALVULAS DE SECTORIZACION EN DIFERENTES SECTORES DEL MUNICIPIO DE PIEDECUESTA - SANTANDER.</v>
      </c>
      <c r="D721" s="470"/>
      <c r="E721" s="470"/>
      <c r="F721" s="470"/>
      <c r="G721" s="470"/>
      <c r="H721" s="470"/>
      <c r="I721" s="470"/>
      <c r="J721" s="470"/>
      <c r="K721" s="470"/>
      <c r="L721" s="471"/>
    </row>
    <row r="722" spans="3:12" hidden="1" x14ac:dyDescent="0.25">
      <c r="C722" s="472" t="s">
        <v>496</v>
      </c>
      <c r="D722" s="141">
        <f>+PPTO!$A$20</f>
        <v>4</v>
      </c>
      <c r="E722" s="474" t="str">
        <f>+PPTO!$B$20</f>
        <v>SUMINISTRO E INSTALACION DE TUBERIAS Y ACCESORIOS.</v>
      </c>
      <c r="F722" s="475"/>
      <c r="G722" s="475"/>
      <c r="H722" s="475"/>
      <c r="I722" s="475"/>
      <c r="J722" s="475"/>
      <c r="K722" s="475"/>
      <c r="L722" s="70" t="s">
        <v>52</v>
      </c>
    </row>
    <row r="723" spans="3:12" ht="13.5" hidden="1" thickBot="1" x14ac:dyDescent="0.3">
      <c r="C723" s="473"/>
      <c r="D723" s="120">
        <f>+PPTO!A31</f>
        <v>4.1100000000000003</v>
      </c>
      <c r="E723" s="476" t="str">
        <f>+PPTO!B31</f>
        <v xml:space="preserve">Suministro e instalación unión rápida  D=6" </v>
      </c>
      <c r="F723" s="476"/>
      <c r="G723" s="476"/>
      <c r="H723" s="476"/>
      <c r="I723" s="476"/>
      <c r="J723" s="476"/>
      <c r="K723" s="476"/>
      <c r="L723" s="71" t="str">
        <f>+PPTO!C31</f>
        <v>UND</v>
      </c>
    </row>
    <row r="724" spans="3:12" ht="13.5" hidden="1" thickBot="1" x14ac:dyDescent="0.3">
      <c r="C724" s="477"/>
      <c r="D724" s="478"/>
      <c r="E724" s="478"/>
      <c r="F724" s="478"/>
      <c r="G724" s="478"/>
      <c r="H724" s="478"/>
      <c r="I724" s="478"/>
      <c r="J724" s="478"/>
      <c r="K724" s="478"/>
      <c r="L724" s="479"/>
    </row>
    <row r="725" spans="3:12" hidden="1" x14ac:dyDescent="0.25">
      <c r="C725" s="466" t="s">
        <v>497</v>
      </c>
      <c r="D725" s="467"/>
      <c r="E725" s="467"/>
      <c r="F725" s="467"/>
      <c r="G725" s="467"/>
      <c r="H725" s="467"/>
      <c r="I725" s="467"/>
      <c r="J725" s="467"/>
      <c r="K725" s="467"/>
      <c r="L725" s="468"/>
    </row>
    <row r="726" spans="3:12" hidden="1" x14ac:dyDescent="0.25">
      <c r="C726" s="72" t="s">
        <v>66</v>
      </c>
      <c r="D726" s="492" t="s">
        <v>498</v>
      </c>
      <c r="E726" s="492"/>
      <c r="F726" s="492"/>
      <c r="G726" s="492"/>
      <c r="H726" s="492"/>
      <c r="I726" s="73" t="s">
        <v>499</v>
      </c>
      <c r="J726" s="74" t="s">
        <v>500</v>
      </c>
      <c r="K726" s="73" t="s">
        <v>501</v>
      </c>
      <c r="L726" s="70" t="s">
        <v>502</v>
      </c>
    </row>
    <row r="727" spans="3:12" hidden="1" x14ac:dyDescent="0.25">
      <c r="C727" s="75"/>
      <c r="D727" s="460"/>
      <c r="E727" s="499"/>
      <c r="F727" s="499"/>
      <c r="G727" s="499"/>
      <c r="H727" s="461"/>
      <c r="I727" s="76"/>
      <c r="J727" s="76"/>
      <c r="K727" s="77"/>
      <c r="L727" s="78"/>
    </row>
    <row r="728" spans="3:12" hidden="1" x14ac:dyDescent="0.25">
      <c r="C728" s="75"/>
      <c r="D728" s="493"/>
      <c r="E728" s="493"/>
      <c r="F728" s="493"/>
      <c r="G728" s="493"/>
      <c r="H728" s="493"/>
      <c r="I728" s="76"/>
      <c r="J728" s="80"/>
      <c r="K728" s="81"/>
      <c r="L728" s="78"/>
    </row>
    <row r="729" spans="3:12" hidden="1" x14ac:dyDescent="0.25">
      <c r="C729" s="79"/>
      <c r="D729" s="493" t="s">
        <v>503</v>
      </c>
      <c r="E729" s="493"/>
      <c r="F729" s="493"/>
      <c r="G729" s="493"/>
      <c r="H729" s="493"/>
      <c r="I729" s="76" t="s">
        <v>61</v>
      </c>
      <c r="J729" s="80">
        <v>1</v>
      </c>
      <c r="K729" s="81">
        <f>L752*0.1</f>
        <v>1696.8826335000003</v>
      </c>
      <c r="L729" s="82">
        <f>K729/J729</f>
        <v>1696.8826335000003</v>
      </c>
    </row>
    <row r="730" spans="3:12" ht="13.5" hidden="1" thickBot="1" x14ac:dyDescent="0.3">
      <c r="C730" s="83"/>
      <c r="D730" s="485" t="s">
        <v>504</v>
      </c>
      <c r="E730" s="485"/>
      <c r="F730" s="485"/>
      <c r="G730" s="485"/>
      <c r="H730" s="485"/>
      <c r="I730" s="485"/>
      <c r="J730" s="485"/>
      <c r="K730" s="485"/>
      <c r="L730" s="84">
        <f>SUM(L727:L729)</f>
        <v>1696.8826335000003</v>
      </c>
    </row>
    <row r="731" spans="3:12" ht="13.5" hidden="1" thickBot="1" x14ac:dyDescent="0.3">
      <c r="C731" s="477"/>
      <c r="D731" s="478"/>
      <c r="E731" s="478"/>
      <c r="F731" s="478"/>
      <c r="G731" s="478"/>
      <c r="H731" s="478"/>
      <c r="I731" s="478"/>
      <c r="J731" s="478"/>
      <c r="K731" s="478"/>
      <c r="L731" s="479"/>
    </row>
    <row r="732" spans="3:12" hidden="1" x14ac:dyDescent="0.25">
      <c r="C732" s="466" t="s">
        <v>505</v>
      </c>
      <c r="D732" s="467"/>
      <c r="E732" s="467"/>
      <c r="F732" s="467"/>
      <c r="G732" s="467"/>
      <c r="H732" s="467"/>
      <c r="I732" s="467"/>
      <c r="J732" s="467"/>
      <c r="K732" s="467"/>
      <c r="L732" s="468"/>
    </row>
    <row r="733" spans="3:12" ht="25.5" hidden="1" x14ac:dyDescent="0.25">
      <c r="C733" s="72" t="s">
        <v>66</v>
      </c>
      <c r="D733" s="492" t="s">
        <v>498</v>
      </c>
      <c r="E733" s="492"/>
      <c r="F733" s="492"/>
      <c r="G733" s="492"/>
      <c r="H733" s="73" t="s">
        <v>499</v>
      </c>
      <c r="I733" s="74" t="s">
        <v>506</v>
      </c>
      <c r="J733" s="73" t="s">
        <v>501</v>
      </c>
      <c r="K733" s="85" t="s">
        <v>507</v>
      </c>
      <c r="L733" s="70" t="s">
        <v>502</v>
      </c>
    </row>
    <row r="734" spans="3:12" hidden="1" x14ac:dyDescent="0.25">
      <c r="C734" s="113" t="s">
        <v>731</v>
      </c>
      <c r="D734" s="498" t="str">
        <f>+MATERIALES!$B$302</f>
        <v>Lubricante tarro</v>
      </c>
      <c r="E734" s="496"/>
      <c r="F734" s="496"/>
      <c r="G734" s="497"/>
      <c r="H734" s="73" t="str">
        <f>+MATERIALES!$C$302</f>
        <v>Kg</v>
      </c>
      <c r="I734" s="76">
        <v>0.01</v>
      </c>
      <c r="J734" s="86">
        <f>+MATERIALES!$D$302</f>
        <v>43900</v>
      </c>
      <c r="K734" s="87">
        <v>0.01</v>
      </c>
      <c r="L734" s="88">
        <f>I734*J734*(1+K734)</f>
        <v>443.39</v>
      </c>
    </row>
    <row r="735" spans="3:12" hidden="1" x14ac:dyDescent="0.25">
      <c r="C735" s="90" t="s">
        <v>732</v>
      </c>
      <c r="D735" s="498" t="str">
        <f>+MATERIALES!$B$303</f>
        <v>Limpiador PVC 760 grms</v>
      </c>
      <c r="E735" s="496"/>
      <c r="F735" s="496"/>
      <c r="G735" s="497"/>
      <c r="H735" s="73" t="str">
        <f>+MATERIALES!$C$303</f>
        <v>und</v>
      </c>
      <c r="I735" s="76">
        <v>0.05</v>
      </c>
      <c r="J735" s="86">
        <f>+MATERIALES!$D$303</f>
        <v>40900</v>
      </c>
      <c r="K735" s="87">
        <v>0.01</v>
      </c>
      <c r="L735" s="88">
        <f>I735*J735*(1+K735)</f>
        <v>2065.4499999999998</v>
      </c>
    </row>
    <row r="736" spans="3:12" hidden="1" x14ac:dyDescent="0.25">
      <c r="C736" s="90" t="s">
        <v>733</v>
      </c>
      <c r="D736" s="498" t="str">
        <f>+MATERIALES!$B$304</f>
        <v>Soldadura PVC 1/4 galon</v>
      </c>
      <c r="E736" s="496"/>
      <c r="F736" s="496"/>
      <c r="G736" s="497"/>
      <c r="H736" s="73" t="str">
        <f>+MATERIALES!$C$304</f>
        <v>und</v>
      </c>
      <c r="I736" s="76">
        <v>0.05</v>
      </c>
      <c r="J736" s="86">
        <f>+MATERIALES!$D$304</f>
        <v>84900</v>
      </c>
      <c r="K736" s="87">
        <v>0.01</v>
      </c>
      <c r="L736" s="88">
        <f>I736*J736*(1+K736)</f>
        <v>4287.45</v>
      </c>
    </row>
    <row r="737" spans="3:15" hidden="1" x14ac:dyDescent="0.25">
      <c r="C737" s="113" t="s">
        <v>726</v>
      </c>
      <c r="D737" s="498" t="str">
        <f>+MATERIALES!B298</f>
        <v xml:space="preserve">unión rápida  D=6" </v>
      </c>
      <c r="E737" s="496"/>
      <c r="F737" s="496"/>
      <c r="G737" s="497"/>
      <c r="H737" s="73" t="str">
        <f>+MATERIALES!C298</f>
        <v>und</v>
      </c>
      <c r="I737" s="91">
        <v>1</v>
      </c>
      <c r="J737" s="86">
        <f>+MATERIALES!D298</f>
        <v>161038</v>
      </c>
      <c r="K737" s="93">
        <v>0</v>
      </c>
      <c r="L737" s="88">
        <f>I737*J737*(1+K737)</f>
        <v>161038</v>
      </c>
    </row>
    <row r="738" spans="3:15" ht="13.5" hidden="1" thickBot="1" x14ac:dyDescent="0.3">
      <c r="C738" s="94"/>
      <c r="D738" s="485" t="s">
        <v>508</v>
      </c>
      <c r="E738" s="485"/>
      <c r="F738" s="485"/>
      <c r="G738" s="485"/>
      <c r="H738" s="485"/>
      <c r="I738" s="485"/>
      <c r="J738" s="485"/>
      <c r="K738" s="485"/>
      <c r="L738" s="84">
        <f>SUM(L734:L737)</f>
        <v>167834.29</v>
      </c>
    </row>
    <row r="739" spans="3:15" ht="13.5" hidden="1" thickBot="1" x14ac:dyDescent="0.3">
      <c r="C739" s="486"/>
      <c r="D739" s="487"/>
      <c r="E739" s="487"/>
      <c r="F739" s="487"/>
      <c r="G739" s="487"/>
      <c r="H739" s="487"/>
      <c r="I739" s="487"/>
      <c r="J739" s="487"/>
      <c r="K739" s="487"/>
      <c r="L739" s="488"/>
    </row>
    <row r="740" spans="3:15" hidden="1" x14ac:dyDescent="0.25">
      <c r="C740" s="466" t="s">
        <v>509</v>
      </c>
      <c r="D740" s="467"/>
      <c r="E740" s="467"/>
      <c r="F740" s="467"/>
      <c r="G740" s="467"/>
      <c r="H740" s="467"/>
      <c r="I740" s="467"/>
      <c r="J740" s="467"/>
      <c r="K740" s="467"/>
      <c r="L740" s="468"/>
    </row>
    <row r="741" spans="3:15" hidden="1" x14ac:dyDescent="0.25">
      <c r="C741" s="72" t="s">
        <v>66</v>
      </c>
      <c r="D741" s="492" t="s">
        <v>498</v>
      </c>
      <c r="E741" s="492"/>
      <c r="F741" s="492"/>
      <c r="G741" s="492"/>
      <c r="H741" s="73" t="s">
        <v>506</v>
      </c>
      <c r="I741" s="73" t="s">
        <v>499</v>
      </c>
      <c r="J741" s="74" t="s">
        <v>510</v>
      </c>
      <c r="K741" s="85" t="s">
        <v>511</v>
      </c>
      <c r="L741" s="70" t="s">
        <v>502</v>
      </c>
    </row>
    <row r="742" spans="3:15" hidden="1" x14ac:dyDescent="0.25">
      <c r="C742" s="90"/>
      <c r="D742" s="494"/>
      <c r="E742" s="494"/>
      <c r="F742" s="494"/>
      <c r="G742" s="494"/>
      <c r="H742" s="76"/>
      <c r="I742" s="97"/>
      <c r="J742" s="97"/>
      <c r="K742" s="95"/>
      <c r="L742" s="96"/>
    </row>
    <row r="743" spans="3:15" hidden="1" x14ac:dyDescent="0.25">
      <c r="C743" s="90"/>
      <c r="D743" s="495"/>
      <c r="E743" s="495"/>
      <c r="F743" s="495"/>
      <c r="G743" s="495"/>
      <c r="H743" s="76"/>
      <c r="I743" s="97"/>
      <c r="J743" s="97"/>
      <c r="K743" s="95"/>
      <c r="L743" s="96"/>
    </row>
    <row r="744" spans="3:15" hidden="1" x14ac:dyDescent="0.25">
      <c r="C744" s="90"/>
      <c r="D744" s="495"/>
      <c r="E744" s="495"/>
      <c r="F744" s="495"/>
      <c r="G744" s="495"/>
      <c r="H744" s="76"/>
      <c r="I744" s="97"/>
      <c r="J744" s="97"/>
      <c r="K744" s="95"/>
      <c r="L744" s="96"/>
    </row>
    <row r="745" spans="3:15" ht="13.5" hidden="1" thickBot="1" x14ac:dyDescent="0.3">
      <c r="C745" s="83"/>
      <c r="D745" s="485" t="s">
        <v>512</v>
      </c>
      <c r="E745" s="485"/>
      <c r="F745" s="485"/>
      <c r="G745" s="485"/>
      <c r="H745" s="485"/>
      <c r="I745" s="485"/>
      <c r="J745" s="485"/>
      <c r="K745" s="485"/>
      <c r="L745" s="98">
        <f>L742</f>
        <v>0</v>
      </c>
    </row>
    <row r="746" spans="3:15" ht="13.5" hidden="1" thickBot="1" x14ac:dyDescent="0.3">
      <c r="C746" s="477"/>
      <c r="D746" s="478"/>
      <c r="E746" s="478"/>
      <c r="F746" s="478"/>
      <c r="G746" s="478"/>
      <c r="H746" s="478"/>
      <c r="I746" s="478"/>
      <c r="J746" s="478"/>
      <c r="K746" s="478"/>
      <c r="L746" s="479"/>
      <c r="O746" s="119">
        <f>186500-(L752+L730+L734+L735+L736)</f>
        <v>161038.0010315</v>
      </c>
    </row>
    <row r="747" spans="3:15" hidden="1" x14ac:dyDescent="0.25">
      <c r="C747" s="466" t="s">
        <v>513</v>
      </c>
      <c r="D747" s="467"/>
      <c r="E747" s="467"/>
      <c r="F747" s="467"/>
      <c r="G747" s="467"/>
      <c r="H747" s="467"/>
      <c r="I747" s="467"/>
      <c r="J747" s="467"/>
      <c r="K747" s="467"/>
      <c r="L747" s="468"/>
    </row>
    <row r="748" spans="3:15" hidden="1" x14ac:dyDescent="0.25">
      <c r="C748" s="72" t="s">
        <v>66</v>
      </c>
      <c r="D748" s="492" t="s">
        <v>498</v>
      </c>
      <c r="E748" s="492"/>
      <c r="F748" s="85" t="s">
        <v>499</v>
      </c>
      <c r="G748" s="85" t="s">
        <v>506</v>
      </c>
      <c r="H748" s="73" t="s">
        <v>514</v>
      </c>
      <c r="I748" s="99" t="s">
        <v>515</v>
      </c>
      <c r="J748" s="85" t="s">
        <v>516</v>
      </c>
      <c r="K748" s="99" t="s">
        <v>517</v>
      </c>
      <c r="L748" s="100" t="s">
        <v>502</v>
      </c>
    </row>
    <row r="749" spans="3:15" hidden="1" x14ac:dyDescent="0.25">
      <c r="C749" s="79" t="s">
        <v>519</v>
      </c>
      <c r="D749" s="460" t="str">
        <f>'MANO DE OBRA'!$B$3</f>
        <v>Ayudante</v>
      </c>
      <c r="E749" s="461"/>
      <c r="F749" s="97" t="str">
        <f>'MANO DE OBRA'!$C$2</f>
        <v>DIA</v>
      </c>
      <c r="G749" s="76">
        <v>2</v>
      </c>
      <c r="H749" s="101">
        <f>'MANO DE OBRA'!$D$3</f>
        <v>28981.77</v>
      </c>
      <c r="I749" s="102">
        <v>0.75649999999999995</v>
      </c>
      <c r="J749" s="103">
        <f>(H749+(H749*I749))</f>
        <v>50906.479005000001</v>
      </c>
      <c r="K749" s="76">
        <v>6</v>
      </c>
      <c r="L749" s="96">
        <f>G749*(J749/K749)</f>
        <v>16968.826335000002</v>
      </c>
    </row>
    <row r="750" spans="3:15" hidden="1" x14ac:dyDescent="0.25">
      <c r="C750" s="79"/>
      <c r="D750" s="460"/>
      <c r="E750" s="461"/>
      <c r="F750" s="97"/>
      <c r="G750" s="76"/>
      <c r="H750" s="101"/>
      <c r="I750" s="102"/>
      <c r="J750" s="103"/>
      <c r="K750" s="76"/>
      <c r="L750" s="96"/>
    </row>
    <row r="751" spans="3:15" hidden="1" x14ac:dyDescent="0.25">
      <c r="C751" s="90"/>
      <c r="D751" s="493"/>
      <c r="E751" s="493"/>
      <c r="F751" s="97"/>
      <c r="G751" s="76"/>
      <c r="H751" s="101"/>
      <c r="I751" s="102"/>
      <c r="J751" s="103"/>
      <c r="K751" s="76"/>
      <c r="L751" s="96"/>
    </row>
    <row r="752" spans="3:15" ht="13.5" hidden="1" thickBot="1" x14ac:dyDescent="0.3">
      <c r="C752" s="83"/>
      <c r="D752" s="485" t="s">
        <v>520</v>
      </c>
      <c r="E752" s="485"/>
      <c r="F752" s="485"/>
      <c r="G752" s="485"/>
      <c r="H752" s="485"/>
      <c r="I752" s="485"/>
      <c r="J752" s="485"/>
      <c r="K752" s="485"/>
      <c r="L752" s="98">
        <f>L750+L749</f>
        <v>16968.826335000002</v>
      </c>
    </row>
    <row r="753" spans="3:12" ht="13.5" hidden="1" thickBot="1" x14ac:dyDescent="0.3">
      <c r="C753" s="486"/>
      <c r="D753" s="487"/>
      <c r="E753" s="487"/>
      <c r="F753" s="487"/>
      <c r="G753" s="487"/>
      <c r="H753" s="487"/>
      <c r="I753" s="487"/>
      <c r="J753" s="487"/>
      <c r="K753" s="487"/>
      <c r="L753" s="488"/>
    </row>
    <row r="754" spans="3:12" ht="13.5" hidden="1" thickBot="1" x14ac:dyDescent="0.3">
      <c r="C754" s="489" t="s">
        <v>521</v>
      </c>
      <c r="D754" s="490"/>
      <c r="E754" s="490"/>
      <c r="F754" s="490"/>
      <c r="G754" s="490"/>
      <c r="H754" s="490"/>
      <c r="I754" s="490"/>
      <c r="J754" s="491"/>
      <c r="K754" s="145">
        <f>ROUND(L752+L745+L738+L730,0)</f>
        <v>186500</v>
      </c>
      <c r="L754" s="146"/>
    </row>
    <row r="755" spans="3:12" hidden="1" x14ac:dyDescent="0.25"/>
    <row r="756" spans="3:12" ht="13.5" hidden="1" thickBot="1" x14ac:dyDescent="0.3"/>
    <row r="757" spans="3:12" hidden="1" x14ac:dyDescent="0.25">
      <c r="C757" s="466" t="s">
        <v>495</v>
      </c>
      <c r="D757" s="467"/>
      <c r="E757" s="467"/>
      <c r="F757" s="467"/>
      <c r="G757" s="467"/>
      <c r="H757" s="467"/>
      <c r="I757" s="467"/>
      <c r="J757" s="467"/>
      <c r="K757" s="467"/>
      <c r="L757" s="468"/>
    </row>
    <row r="758" spans="3:12" ht="12.75" hidden="1" customHeight="1" x14ac:dyDescent="0.25">
      <c r="C758" s="469" t="str">
        <f>+PPTO!$A$2</f>
        <v>REPOSICION E INSTALACION VALVULAS DE SECTORIZACION EN DIFERENTES SECTORES DEL MUNICIPIO DE PIEDECUESTA - SANTANDER.</v>
      </c>
      <c r="D758" s="470"/>
      <c r="E758" s="470"/>
      <c r="F758" s="470"/>
      <c r="G758" s="470"/>
      <c r="H758" s="470"/>
      <c r="I758" s="470"/>
      <c r="J758" s="470"/>
      <c r="K758" s="470"/>
      <c r="L758" s="471"/>
    </row>
    <row r="759" spans="3:12" hidden="1" x14ac:dyDescent="0.25">
      <c r="C759" s="472" t="s">
        <v>496</v>
      </c>
      <c r="D759" s="141">
        <f>+PPTO!$A$20</f>
        <v>4</v>
      </c>
      <c r="E759" s="474" t="str">
        <f>+PPTO!$B$20</f>
        <v>SUMINISTRO E INSTALACION DE TUBERIAS Y ACCESORIOS.</v>
      </c>
      <c r="F759" s="475"/>
      <c r="G759" s="475"/>
      <c r="H759" s="475"/>
      <c r="I759" s="475"/>
      <c r="J759" s="475"/>
      <c r="K759" s="475"/>
      <c r="L759" s="70" t="s">
        <v>52</v>
      </c>
    </row>
    <row r="760" spans="3:12" ht="13.5" hidden="1" thickBot="1" x14ac:dyDescent="0.3">
      <c r="C760" s="473"/>
      <c r="D760" s="120">
        <f>+PPTO!A32</f>
        <v>4.12</v>
      </c>
      <c r="E760" s="476" t="str">
        <f>+PPTO!B32</f>
        <v xml:space="preserve">Suministro e instalación unión rápida  D=8" </v>
      </c>
      <c r="F760" s="476"/>
      <c r="G760" s="476"/>
      <c r="H760" s="476"/>
      <c r="I760" s="476"/>
      <c r="J760" s="476"/>
      <c r="K760" s="476"/>
      <c r="L760" s="71" t="str">
        <f>+PPTO!C32</f>
        <v>UND</v>
      </c>
    </row>
    <row r="761" spans="3:12" ht="13.5" hidden="1" thickBot="1" x14ac:dyDescent="0.3">
      <c r="C761" s="477"/>
      <c r="D761" s="478"/>
      <c r="E761" s="478"/>
      <c r="F761" s="478"/>
      <c r="G761" s="478"/>
      <c r="H761" s="478"/>
      <c r="I761" s="478"/>
      <c r="J761" s="478"/>
      <c r="K761" s="478"/>
      <c r="L761" s="479"/>
    </row>
    <row r="762" spans="3:12" hidden="1" x14ac:dyDescent="0.25">
      <c r="C762" s="466" t="s">
        <v>497</v>
      </c>
      <c r="D762" s="467"/>
      <c r="E762" s="467"/>
      <c r="F762" s="467"/>
      <c r="G762" s="467"/>
      <c r="H762" s="467"/>
      <c r="I762" s="467"/>
      <c r="J762" s="467"/>
      <c r="K762" s="467"/>
      <c r="L762" s="468"/>
    </row>
    <row r="763" spans="3:12" hidden="1" x14ac:dyDescent="0.25">
      <c r="C763" s="72" t="s">
        <v>66</v>
      </c>
      <c r="D763" s="492" t="s">
        <v>498</v>
      </c>
      <c r="E763" s="492"/>
      <c r="F763" s="492"/>
      <c r="G763" s="492"/>
      <c r="H763" s="492"/>
      <c r="I763" s="73" t="s">
        <v>499</v>
      </c>
      <c r="J763" s="74" t="s">
        <v>500</v>
      </c>
      <c r="K763" s="73" t="s">
        <v>501</v>
      </c>
      <c r="L763" s="70" t="s">
        <v>502</v>
      </c>
    </row>
    <row r="764" spans="3:12" hidden="1" x14ac:dyDescent="0.25">
      <c r="C764" s="75"/>
      <c r="D764" s="460"/>
      <c r="E764" s="499"/>
      <c r="F764" s="499"/>
      <c r="G764" s="499"/>
      <c r="H764" s="461"/>
      <c r="I764" s="76"/>
      <c r="J764" s="76"/>
      <c r="K764" s="77"/>
      <c r="L764" s="78"/>
    </row>
    <row r="765" spans="3:12" hidden="1" x14ac:dyDescent="0.25">
      <c r="C765" s="75"/>
      <c r="D765" s="493"/>
      <c r="E765" s="493"/>
      <c r="F765" s="493"/>
      <c r="G765" s="493"/>
      <c r="H765" s="493"/>
      <c r="I765" s="76"/>
      <c r="J765" s="80"/>
      <c r="K765" s="81"/>
      <c r="L765" s="78"/>
    </row>
    <row r="766" spans="3:12" hidden="1" x14ac:dyDescent="0.25">
      <c r="C766" s="79"/>
      <c r="D766" s="493" t="s">
        <v>503</v>
      </c>
      <c r="E766" s="493"/>
      <c r="F766" s="493"/>
      <c r="G766" s="493"/>
      <c r="H766" s="493"/>
      <c r="I766" s="76" t="s">
        <v>61</v>
      </c>
      <c r="J766" s="80">
        <v>1</v>
      </c>
      <c r="K766" s="81">
        <f>L789*0.1</f>
        <v>2036.2591602000002</v>
      </c>
      <c r="L766" s="82">
        <f>K766/J766</f>
        <v>2036.2591602000002</v>
      </c>
    </row>
    <row r="767" spans="3:12" ht="13.5" hidden="1" thickBot="1" x14ac:dyDescent="0.3">
      <c r="C767" s="83"/>
      <c r="D767" s="485" t="s">
        <v>504</v>
      </c>
      <c r="E767" s="485"/>
      <c r="F767" s="485"/>
      <c r="G767" s="485"/>
      <c r="H767" s="485"/>
      <c r="I767" s="485"/>
      <c r="J767" s="485"/>
      <c r="K767" s="485"/>
      <c r="L767" s="84">
        <f>SUM(L764:L766)</f>
        <v>2036.2591602000002</v>
      </c>
    </row>
    <row r="768" spans="3:12" ht="13.5" hidden="1" thickBot="1" x14ac:dyDescent="0.3">
      <c r="C768" s="477"/>
      <c r="D768" s="478"/>
      <c r="E768" s="478"/>
      <c r="F768" s="478"/>
      <c r="G768" s="478"/>
      <c r="H768" s="478"/>
      <c r="I768" s="478"/>
      <c r="J768" s="478"/>
      <c r="K768" s="478"/>
      <c r="L768" s="479"/>
    </row>
    <row r="769" spans="3:15" hidden="1" x14ac:dyDescent="0.25">
      <c r="C769" s="466" t="s">
        <v>505</v>
      </c>
      <c r="D769" s="467"/>
      <c r="E769" s="467"/>
      <c r="F769" s="467"/>
      <c r="G769" s="467"/>
      <c r="H769" s="467"/>
      <c r="I769" s="467"/>
      <c r="J769" s="467"/>
      <c r="K769" s="467"/>
      <c r="L769" s="468"/>
    </row>
    <row r="770" spans="3:15" ht="25.5" hidden="1" x14ac:dyDescent="0.25">
      <c r="C770" s="72" t="s">
        <v>66</v>
      </c>
      <c r="D770" s="492" t="s">
        <v>498</v>
      </c>
      <c r="E770" s="492"/>
      <c r="F770" s="492"/>
      <c r="G770" s="492"/>
      <c r="H770" s="73" t="s">
        <v>499</v>
      </c>
      <c r="I770" s="74" t="s">
        <v>506</v>
      </c>
      <c r="J770" s="73" t="s">
        <v>501</v>
      </c>
      <c r="K770" s="85" t="s">
        <v>507</v>
      </c>
      <c r="L770" s="70" t="s">
        <v>502</v>
      </c>
    </row>
    <row r="771" spans="3:15" hidden="1" x14ac:dyDescent="0.25">
      <c r="C771" s="113" t="s">
        <v>731</v>
      </c>
      <c r="D771" s="498" t="str">
        <f>+MATERIALES!$B$302</f>
        <v>Lubricante tarro</v>
      </c>
      <c r="E771" s="496"/>
      <c r="F771" s="496"/>
      <c r="G771" s="497"/>
      <c r="H771" s="73" t="str">
        <f>+MATERIALES!$C$302</f>
        <v>Kg</v>
      </c>
      <c r="I771" s="76">
        <v>0.01</v>
      </c>
      <c r="J771" s="86">
        <f>+MATERIALES!$D$302</f>
        <v>43900</v>
      </c>
      <c r="K771" s="87">
        <v>0.01</v>
      </c>
      <c r="L771" s="88">
        <f>I771*J771*(1+K771)</f>
        <v>443.39</v>
      </c>
    </row>
    <row r="772" spans="3:15" hidden="1" x14ac:dyDescent="0.25">
      <c r="C772" s="90" t="s">
        <v>732</v>
      </c>
      <c r="D772" s="498" t="str">
        <f>+MATERIALES!$B$303</f>
        <v>Limpiador PVC 760 grms</v>
      </c>
      <c r="E772" s="496"/>
      <c r="F772" s="496"/>
      <c r="G772" s="497"/>
      <c r="H772" s="73" t="str">
        <f>+MATERIALES!$C$303</f>
        <v>und</v>
      </c>
      <c r="I772" s="76">
        <v>0.05</v>
      </c>
      <c r="J772" s="86">
        <f>+MATERIALES!$D$303</f>
        <v>40900</v>
      </c>
      <c r="K772" s="87">
        <v>0.01</v>
      </c>
      <c r="L772" s="88">
        <f>I772*J772*(1+K772)</f>
        <v>2065.4499999999998</v>
      </c>
    </row>
    <row r="773" spans="3:15" hidden="1" x14ac:dyDescent="0.25">
      <c r="C773" s="90" t="s">
        <v>733</v>
      </c>
      <c r="D773" s="498" t="str">
        <f>+MATERIALES!$B$304</f>
        <v>Soldadura PVC 1/4 galon</v>
      </c>
      <c r="E773" s="496"/>
      <c r="F773" s="496"/>
      <c r="G773" s="497"/>
      <c r="H773" s="73" t="str">
        <f>+MATERIALES!$C$304</f>
        <v>und</v>
      </c>
      <c r="I773" s="76">
        <v>0.05</v>
      </c>
      <c r="J773" s="86">
        <f>+MATERIALES!$D$304</f>
        <v>84900</v>
      </c>
      <c r="K773" s="87">
        <v>0.01</v>
      </c>
      <c r="L773" s="88">
        <f>I773*J773*(1+K773)</f>
        <v>4287.45</v>
      </c>
    </row>
    <row r="774" spans="3:15" hidden="1" x14ac:dyDescent="0.25">
      <c r="C774" s="113" t="s">
        <v>727</v>
      </c>
      <c r="D774" s="498" t="str">
        <f>+MATERIALES!B299</f>
        <v xml:space="preserve">unión rápida  D=8" </v>
      </c>
      <c r="E774" s="496"/>
      <c r="F774" s="496"/>
      <c r="G774" s="497"/>
      <c r="H774" s="73" t="str">
        <f>+MATERIALES!C299</f>
        <v>und</v>
      </c>
      <c r="I774" s="91">
        <v>1</v>
      </c>
      <c r="J774" s="86">
        <f>+MATERIALES!D299</f>
        <v>313505</v>
      </c>
      <c r="K774" s="93">
        <v>0</v>
      </c>
      <c r="L774" s="88">
        <f>I774*J774*(1+K774)</f>
        <v>313505</v>
      </c>
    </row>
    <row r="775" spans="3:15" ht="13.5" hidden="1" thickBot="1" x14ac:dyDescent="0.3">
      <c r="C775" s="94"/>
      <c r="D775" s="485" t="s">
        <v>508</v>
      </c>
      <c r="E775" s="485"/>
      <c r="F775" s="485"/>
      <c r="G775" s="485"/>
      <c r="H775" s="485"/>
      <c r="I775" s="485"/>
      <c r="J775" s="485"/>
      <c r="K775" s="485"/>
      <c r="L775" s="84">
        <f>SUM(L771:L774)</f>
        <v>320301.28999999998</v>
      </c>
    </row>
    <row r="776" spans="3:15" ht="13.5" hidden="1" thickBot="1" x14ac:dyDescent="0.3">
      <c r="C776" s="486"/>
      <c r="D776" s="487"/>
      <c r="E776" s="487"/>
      <c r="F776" s="487"/>
      <c r="G776" s="487"/>
      <c r="H776" s="487"/>
      <c r="I776" s="487"/>
      <c r="J776" s="487"/>
      <c r="K776" s="487"/>
      <c r="L776" s="488"/>
    </row>
    <row r="777" spans="3:15" hidden="1" x14ac:dyDescent="0.25">
      <c r="C777" s="466" t="s">
        <v>509</v>
      </c>
      <c r="D777" s="467"/>
      <c r="E777" s="467"/>
      <c r="F777" s="467"/>
      <c r="G777" s="467"/>
      <c r="H777" s="467"/>
      <c r="I777" s="467"/>
      <c r="J777" s="467"/>
      <c r="K777" s="467"/>
      <c r="L777" s="468"/>
    </row>
    <row r="778" spans="3:15" hidden="1" x14ac:dyDescent="0.25">
      <c r="C778" s="72" t="s">
        <v>66</v>
      </c>
      <c r="D778" s="492" t="s">
        <v>498</v>
      </c>
      <c r="E778" s="492"/>
      <c r="F778" s="492"/>
      <c r="G778" s="492"/>
      <c r="H778" s="73" t="s">
        <v>506</v>
      </c>
      <c r="I778" s="73" t="s">
        <v>499</v>
      </c>
      <c r="J778" s="74" t="s">
        <v>510</v>
      </c>
      <c r="K778" s="85" t="s">
        <v>511</v>
      </c>
      <c r="L778" s="70" t="s">
        <v>502</v>
      </c>
    </row>
    <row r="779" spans="3:15" hidden="1" x14ac:dyDescent="0.25">
      <c r="C779" s="90"/>
      <c r="D779" s="494"/>
      <c r="E779" s="494"/>
      <c r="F779" s="494"/>
      <c r="G779" s="494"/>
      <c r="H779" s="76"/>
      <c r="I779" s="97"/>
      <c r="J779" s="97"/>
      <c r="K779" s="95"/>
      <c r="L779" s="96"/>
    </row>
    <row r="780" spans="3:15" hidden="1" x14ac:dyDescent="0.25">
      <c r="C780" s="90"/>
      <c r="D780" s="495"/>
      <c r="E780" s="495"/>
      <c r="F780" s="495"/>
      <c r="G780" s="495"/>
      <c r="H780" s="76"/>
      <c r="I780" s="97"/>
      <c r="J780" s="97"/>
      <c r="K780" s="95"/>
      <c r="L780" s="96"/>
    </row>
    <row r="781" spans="3:15" hidden="1" x14ac:dyDescent="0.25">
      <c r="C781" s="90"/>
      <c r="D781" s="495"/>
      <c r="E781" s="495"/>
      <c r="F781" s="495"/>
      <c r="G781" s="495"/>
      <c r="H781" s="76"/>
      <c r="I781" s="97"/>
      <c r="J781" s="97"/>
      <c r="K781" s="95"/>
      <c r="L781" s="96"/>
    </row>
    <row r="782" spans="3:15" ht="13.5" hidden="1" thickBot="1" x14ac:dyDescent="0.3">
      <c r="C782" s="83"/>
      <c r="D782" s="485" t="s">
        <v>512</v>
      </c>
      <c r="E782" s="485"/>
      <c r="F782" s="485"/>
      <c r="G782" s="485"/>
      <c r="H782" s="485"/>
      <c r="I782" s="485"/>
      <c r="J782" s="485"/>
      <c r="K782" s="485"/>
      <c r="L782" s="98">
        <f>L779</f>
        <v>0</v>
      </c>
    </row>
    <row r="783" spans="3:15" ht="13.5" hidden="1" thickBot="1" x14ac:dyDescent="0.3">
      <c r="C783" s="477"/>
      <c r="D783" s="478"/>
      <c r="E783" s="478"/>
      <c r="F783" s="478"/>
      <c r="G783" s="478"/>
      <c r="H783" s="478"/>
      <c r="I783" s="478"/>
      <c r="J783" s="478"/>
      <c r="K783" s="478"/>
      <c r="L783" s="479"/>
      <c r="O783" s="119">
        <f>342700-(L789+L767+L771+L772+L773)</f>
        <v>313504.8592378</v>
      </c>
    </row>
    <row r="784" spans="3:15" hidden="1" x14ac:dyDescent="0.25">
      <c r="C784" s="466" t="s">
        <v>513</v>
      </c>
      <c r="D784" s="467"/>
      <c r="E784" s="467"/>
      <c r="F784" s="467"/>
      <c r="G784" s="467"/>
      <c r="H784" s="467"/>
      <c r="I784" s="467"/>
      <c r="J784" s="467"/>
      <c r="K784" s="467"/>
      <c r="L784" s="468"/>
    </row>
    <row r="785" spans="3:12" hidden="1" x14ac:dyDescent="0.25">
      <c r="C785" s="72" t="s">
        <v>66</v>
      </c>
      <c r="D785" s="492" t="s">
        <v>498</v>
      </c>
      <c r="E785" s="492"/>
      <c r="F785" s="85" t="s">
        <v>499</v>
      </c>
      <c r="G785" s="85" t="s">
        <v>506</v>
      </c>
      <c r="H785" s="73" t="s">
        <v>514</v>
      </c>
      <c r="I785" s="99" t="s">
        <v>515</v>
      </c>
      <c r="J785" s="85" t="s">
        <v>516</v>
      </c>
      <c r="K785" s="99" t="s">
        <v>517</v>
      </c>
      <c r="L785" s="100" t="s">
        <v>502</v>
      </c>
    </row>
    <row r="786" spans="3:12" hidden="1" x14ac:dyDescent="0.25">
      <c r="C786" s="79" t="s">
        <v>519</v>
      </c>
      <c r="D786" s="460" t="str">
        <f>'MANO DE OBRA'!$B$3</f>
        <v>Ayudante</v>
      </c>
      <c r="E786" s="461"/>
      <c r="F786" s="97" t="str">
        <f>'MANO DE OBRA'!$C$2</f>
        <v>DIA</v>
      </c>
      <c r="G786" s="76">
        <v>2</v>
      </c>
      <c r="H786" s="101">
        <f>'MANO DE OBRA'!$D$3</f>
        <v>28981.77</v>
      </c>
      <c r="I786" s="102">
        <v>0.75649999999999995</v>
      </c>
      <c r="J786" s="103">
        <f>(H786+(H786*I786))</f>
        <v>50906.479005000001</v>
      </c>
      <c r="K786" s="76">
        <v>5</v>
      </c>
      <c r="L786" s="96">
        <f>G786*(J786/K786)</f>
        <v>20362.591602</v>
      </c>
    </row>
    <row r="787" spans="3:12" hidden="1" x14ac:dyDescent="0.25">
      <c r="C787" s="79"/>
      <c r="D787" s="460"/>
      <c r="E787" s="461"/>
      <c r="F787" s="97"/>
      <c r="G787" s="76"/>
      <c r="H787" s="101"/>
      <c r="I787" s="102"/>
      <c r="J787" s="103"/>
      <c r="K787" s="76"/>
      <c r="L787" s="96"/>
    </row>
    <row r="788" spans="3:12" hidden="1" x14ac:dyDescent="0.25">
      <c r="C788" s="90"/>
      <c r="D788" s="493"/>
      <c r="E788" s="493"/>
      <c r="F788" s="97"/>
      <c r="G788" s="76"/>
      <c r="H788" s="101"/>
      <c r="I788" s="102"/>
      <c r="J788" s="103"/>
      <c r="K788" s="76"/>
      <c r="L788" s="96"/>
    </row>
    <row r="789" spans="3:12" ht="13.5" hidden="1" thickBot="1" x14ac:dyDescent="0.3">
      <c r="C789" s="83"/>
      <c r="D789" s="485" t="s">
        <v>520</v>
      </c>
      <c r="E789" s="485"/>
      <c r="F789" s="485"/>
      <c r="G789" s="485"/>
      <c r="H789" s="485"/>
      <c r="I789" s="485"/>
      <c r="J789" s="485"/>
      <c r="K789" s="485"/>
      <c r="L789" s="98">
        <f>L787+L786</f>
        <v>20362.591602</v>
      </c>
    </row>
    <row r="790" spans="3:12" ht="13.5" hidden="1" thickBot="1" x14ac:dyDescent="0.3">
      <c r="C790" s="486"/>
      <c r="D790" s="487"/>
      <c r="E790" s="487"/>
      <c r="F790" s="487"/>
      <c r="G790" s="487"/>
      <c r="H790" s="487"/>
      <c r="I790" s="487"/>
      <c r="J790" s="487"/>
      <c r="K790" s="487"/>
      <c r="L790" s="488"/>
    </row>
    <row r="791" spans="3:12" ht="13.5" hidden="1" thickBot="1" x14ac:dyDescent="0.3">
      <c r="C791" s="489" t="s">
        <v>521</v>
      </c>
      <c r="D791" s="490"/>
      <c r="E791" s="490"/>
      <c r="F791" s="490"/>
      <c r="G791" s="490"/>
      <c r="H791" s="490"/>
      <c r="I791" s="490"/>
      <c r="J791" s="491"/>
      <c r="K791" s="145">
        <f>ROUND(L789+L782+L775+L767,0)</f>
        <v>342700</v>
      </c>
      <c r="L791" s="146"/>
    </row>
    <row r="792" spans="3:12" hidden="1" x14ac:dyDescent="0.25"/>
    <row r="793" spans="3:12" ht="13.5" hidden="1" thickBot="1" x14ac:dyDescent="0.3"/>
    <row r="794" spans="3:12" hidden="1" x14ac:dyDescent="0.25">
      <c r="C794" s="466" t="s">
        <v>495</v>
      </c>
      <c r="D794" s="467"/>
      <c r="E794" s="467"/>
      <c r="F794" s="467"/>
      <c r="G794" s="467"/>
      <c r="H794" s="467"/>
      <c r="I794" s="467"/>
      <c r="J794" s="467"/>
      <c r="K794" s="467"/>
      <c r="L794" s="468"/>
    </row>
    <row r="795" spans="3:12" ht="12.75" hidden="1" customHeight="1" x14ac:dyDescent="0.25">
      <c r="C795" s="469" t="str">
        <f>+PPTO!$A$2</f>
        <v>REPOSICION E INSTALACION VALVULAS DE SECTORIZACION EN DIFERENTES SECTORES DEL MUNICIPIO DE PIEDECUESTA - SANTANDER.</v>
      </c>
      <c r="D795" s="470"/>
      <c r="E795" s="470"/>
      <c r="F795" s="470"/>
      <c r="G795" s="470"/>
      <c r="H795" s="470"/>
      <c r="I795" s="470"/>
      <c r="J795" s="470"/>
      <c r="K795" s="470"/>
      <c r="L795" s="471"/>
    </row>
    <row r="796" spans="3:12" hidden="1" x14ac:dyDescent="0.25">
      <c r="C796" s="472" t="s">
        <v>496</v>
      </c>
      <c r="D796" s="141">
        <f>+PPTO!$A$20</f>
        <v>4</v>
      </c>
      <c r="E796" s="474" t="str">
        <f>+PPTO!$B$20</f>
        <v>SUMINISTRO E INSTALACION DE TUBERIAS Y ACCESORIOS.</v>
      </c>
      <c r="F796" s="475"/>
      <c r="G796" s="475"/>
      <c r="H796" s="475"/>
      <c r="I796" s="475"/>
      <c r="J796" s="475"/>
      <c r="K796" s="475"/>
      <c r="L796" s="70" t="s">
        <v>52</v>
      </c>
    </row>
    <row r="797" spans="3:12" ht="13.5" hidden="1" thickBot="1" x14ac:dyDescent="0.3">
      <c r="C797" s="473"/>
      <c r="D797" s="120">
        <f>+PPTO!A33</f>
        <v>4.13</v>
      </c>
      <c r="E797" s="476" t="str">
        <f>+PPTO!B33</f>
        <v xml:space="preserve">Suministro e instalación unión rápida  D=10" </v>
      </c>
      <c r="F797" s="476"/>
      <c r="G797" s="476"/>
      <c r="H797" s="476"/>
      <c r="I797" s="476"/>
      <c r="J797" s="476"/>
      <c r="K797" s="476"/>
      <c r="L797" s="71" t="str">
        <f>+PPTO!C33</f>
        <v>UND</v>
      </c>
    </row>
    <row r="798" spans="3:12" ht="13.5" hidden="1" thickBot="1" x14ac:dyDescent="0.3">
      <c r="C798" s="477"/>
      <c r="D798" s="478"/>
      <c r="E798" s="478"/>
      <c r="F798" s="478"/>
      <c r="G798" s="478"/>
      <c r="H798" s="478"/>
      <c r="I798" s="478"/>
      <c r="J798" s="478"/>
      <c r="K798" s="478"/>
      <c r="L798" s="479"/>
    </row>
    <row r="799" spans="3:12" hidden="1" x14ac:dyDescent="0.25">
      <c r="C799" s="466" t="s">
        <v>497</v>
      </c>
      <c r="D799" s="467"/>
      <c r="E799" s="467"/>
      <c r="F799" s="467"/>
      <c r="G799" s="467"/>
      <c r="H799" s="467"/>
      <c r="I799" s="467"/>
      <c r="J799" s="467"/>
      <c r="K799" s="467"/>
      <c r="L799" s="468"/>
    </row>
    <row r="800" spans="3:12" hidden="1" x14ac:dyDescent="0.25">
      <c r="C800" s="72" t="s">
        <v>66</v>
      </c>
      <c r="D800" s="492" t="s">
        <v>498</v>
      </c>
      <c r="E800" s="492"/>
      <c r="F800" s="492"/>
      <c r="G800" s="492"/>
      <c r="H800" s="492"/>
      <c r="I800" s="73" t="s">
        <v>499</v>
      </c>
      <c r="J800" s="74" t="s">
        <v>500</v>
      </c>
      <c r="K800" s="73" t="s">
        <v>501</v>
      </c>
      <c r="L800" s="70" t="s">
        <v>502</v>
      </c>
    </row>
    <row r="801" spans="3:12" hidden="1" x14ac:dyDescent="0.25">
      <c r="C801" s="75"/>
      <c r="D801" s="460"/>
      <c r="E801" s="499"/>
      <c r="F801" s="499"/>
      <c r="G801" s="499"/>
      <c r="H801" s="461"/>
      <c r="I801" s="76"/>
      <c r="J801" s="76"/>
      <c r="K801" s="77"/>
      <c r="L801" s="78"/>
    </row>
    <row r="802" spans="3:12" hidden="1" x14ac:dyDescent="0.25">
      <c r="C802" s="75"/>
      <c r="D802" s="493"/>
      <c r="E802" s="493"/>
      <c r="F802" s="493"/>
      <c r="G802" s="493"/>
      <c r="H802" s="493"/>
      <c r="I802" s="76"/>
      <c r="J802" s="80"/>
      <c r="K802" s="81"/>
      <c r="L802" s="78"/>
    </row>
    <row r="803" spans="3:12" hidden="1" x14ac:dyDescent="0.25">
      <c r="C803" s="79"/>
      <c r="D803" s="493" t="s">
        <v>503</v>
      </c>
      <c r="E803" s="493"/>
      <c r="F803" s="493"/>
      <c r="G803" s="493"/>
      <c r="H803" s="493"/>
      <c r="I803" s="76" t="s">
        <v>61</v>
      </c>
      <c r="J803" s="80">
        <v>1</v>
      </c>
      <c r="K803" s="81">
        <f>L826*0.1</f>
        <v>2545.3239502500001</v>
      </c>
      <c r="L803" s="82">
        <f>K803/J803</f>
        <v>2545.3239502500001</v>
      </c>
    </row>
    <row r="804" spans="3:12" ht="13.5" hidden="1" thickBot="1" x14ac:dyDescent="0.3">
      <c r="C804" s="83"/>
      <c r="D804" s="485" t="s">
        <v>504</v>
      </c>
      <c r="E804" s="485"/>
      <c r="F804" s="485"/>
      <c r="G804" s="485"/>
      <c r="H804" s="485"/>
      <c r="I804" s="485"/>
      <c r="J804" s="485"/>
      <c r="K804" s="485"/>
      <c r="L804" s="84">
        <f>SUM(L801:L803)</f>
        <v>2545.3239502500001</v>
      </c>
    </row>
    <row r="805" spans="3:12" ht="13.5" hidden="1" thickBot="1" x14ac:dyDescent="0.3">
      <c r="C805" s="477"/>
      <c r="D805" s="478"/>
      <c r="E805" s="478"/>
      <c r="F805" s="478"/>
      <c r="G805" s="478"/>
      <c r="H805" s="478"/>
      <c r="I805" s="478"/>
      <c r="J805" s="478"/>
      <c r="K805" s="478"/>
      <c r="L805" s="479"/>
    </row>
    <row r="806" spans="3:12" hidden="1" x14ac:dyDescent="0.25">
      <c r="C806" s="466" t="s">
        <v>505</v>
      </c>
      <c r="D806" s="467"/>
      <c r="E806" s="467"/>
      <c r="F806" s="467"/>
      <c r="G806" s="467"/>
      <c r="H806" s="467"/>
      <c r="I806" s="467"/>
      <c r="J806" s="467"/>
      <c r="K806" s="467"/>
      <c r="L806" s="468"/>
    </row>
    <row r="807" spans="3:12" ht="25.5" hidden="1" x14ac:dyDescent="0.25">
      <c r="C807" s="72" t="s">
        <v>66</v>
      </c>
      <c r="D807" s="492" t="s">
        <v>498</v>
      </c>
      <c r="E807" s="492"/>
      <c r="F807" s="492"/>
      <c r="G807" s="492"/>
      <c r="H807" s="73" t="s">
        <v>499</v>
      </c>
      <c r="I807" s="74" t="s">
        <v>506</v>
      </c>
      <c r="J807" s="73" t="s">
        <v>501</v>
      </c>
      <c r="K807" s="85" t="s">
        <v>507</v>
      </c>
      <c r="L807" s="70" t="s">
        <v>502</v>
      </c>
    </row>
    <row r="808" spans="3:12" hidden="1" x14ac:dyDescent="0.25">
      <c r="C808" s="113" t="s">
        <v>731</v>
      </c>
      <c r="D808" s="498" t="str">
        <f>+MATERIALES!$B$302</f>
        <v>Lubricante tarro</v>
      </c>
      <c r="E808" s="496"/>
      <c r="F808" s="496"/>
      <c r="G808" s="497"/>
      <c r="H808" s="73" t="str">
        <f>+MATERIALES!$C$302</f>
        <v>Kg</v>
      </c>
      <c r="I808" s="76">
        <v>0.01</v>
      </c>
      <c r="J808" s="86">
        <f>+MATERIALES!$D$302</f>
        <v>43900</v>
      </c>
      <c r="K808" s="87">
        <v>0.01</v>
      </c>
      <c r="L808" s="88">
        <f>I808*J808*(1+K808)</f>
        <v>443.39</v>
      </c>
    </row>
    <row r="809" spans="3:12" hidden="1" x14ac:dyDescent="0.25">
      <c r="C809" s="90" t="s">
        <v>732</v>
      </c>
      <c r="D809" s="498" t="str">
        <f>+MATERIALES!$B$303</f>
        <v>Limpiador PVC 760 grms</v>
      </c>
      <c r="E809" s="496"/>
      <c r="F809" s="496"/>
      <c r="G809" s="497"/>
      <c r="H809" s="73" t="str">
        <f>+MATERIALES!$C$303</f>
        <v>und</v>
      </c>
      <c r="I809" s="76">
        <v>0.05</v>
      </c>
      <c r="J809" s="86">
        <f>+MATERIALES!$D$303</f>
        <v>40900</v>
      </c>
      <c r="K809" s="87">
        <v>0.01</v>
      </c>
      <c r="L809" s="88">
        <f>I809*J809*(1+K809)</f>
        <v>2065.4499999999998</v>
      </c>
    </row>
    <row r="810" spans="3:12" hidden="1" x14ac:dyDescent="0.25">
      <c r="C810" s="90" t="s">
        <v>733</v>
      </c>
      <c r="D810" s="498" t="str">
        <f>+MATERIALES!$B$304</f>
        <v>Soldadura PVC 1/4 galon</v>
      </c>
      <c r="E810" s="496"/>
      <c r="F810" s="496"/>
      <c r="G810" s="497"/>
      <c r="H810" s="73" t="str">
        <f>+MATERIALES!$C$304</f>
        <v>und</v>
      </c>
      <c r="I810" s="76">
        <v>0.05</v>
      </c>
      <c r="J810" s="86">
        <f>+MATERIALES!$D$304</f>
        <v>84900</v>
      </c>
      <c r="K810" s="87">
        <v>0.01</v>
      </c>
      <c r="L810" s="88">
        <f>I810*J810*(1+K810)</f>
        <v>4287.45</v>
      </c>
    </row>
    <row r="811" spans="3:12" hidden="1" x14ac:dyDescent="0.25">
      <c r="C811" s="113" t="s">
        <v>728</v>
      </c>
      <c r="D811" s="498" t="str">
        <f>+MATERIALES!B300</f>
        <v xml:space="preserve">unión rápida  D=10" </v>
      </c>
      <c r="E811" s="496"/>
      <c r="F811" s="496"/>
      <c r="G811" s="497"/>
      <c r="H811" s="73" t="str">
        <f>+MATERIALES!C300</f>
        <v>und</v>
      </c>
      <c r="I811" s="91">
        <v>1</v>
      </c>
      <c r="J811" s="86">
        <f>+MATERIALES!D300</f>
        <v>577405</v>
      </c>
      <c r="K811" s="93">
        <v>0</v>
      </c>
      <c r="L811" s="88">
        <f>I811*J811*(1+K811)</f>
        <v>577405</v>
      </c>
    </row>
    <row r="812" spans="3:12" ht="13.5" hidden="1" thickBot="1" x14ac:dyDescent="0.3">
      <c r="C812" s="94"/>
      <c r="D812" s="485" t="s">
        <v>508</v>
      </c>
      <c r="E812" s="485"/>
      <c r="F812" s="485"/>
      <c r="G812" s="485"/>
      <c r="H812" s="485"/>
      <c r="I812" s="485"/>
      <c r="J812" s="485"/>
      <c r="K812" s="485"/>
      <c r="L812" s="84">
        <f>SUM(L808:L811)</f>
        <v>584201.29</v>
      </c>
    </row>
    <row r="813" spans="3:12" ht="13.5" hidden="1" thickBot="1" x14ac:dyDescent="0.3">
      <c r="C813" s="486"/>
      <c r="D813" s="487"/>
      <c r="E813" s="487"/>
      <c r="F813" s="487"/>
      <c r="G813" s="487"/>
      <c r="H813" s="487"/>
      <c r="I813" s="487"/>
      <c r="J813" s="487"/>
      <c r="K813" s="487"/>
      <c r="L813" s="488"/>
    </row>
    <row r="814" spans="3:12" hidden="1" x14ac:dyDescent="0.25">
      <c r="C814" s="466" t="s">
        <v>509</v>
      </c>
      <c r="D814" s="467"/>
      <c r="E814" s="467"/>
      <c r="F814" s="467"/>
      <c r="G814" s="467"/>
      <c r="H814" s="467"/>
      <c r="I814" s="467"/>
      <c r="J814" s="467"/>
      <c r="K814" s="467"/>
      <c r="L814" s="468"/>
    </row>
    <row r="815" spans="3:12" hidden="1" x14ac:dyDescent="0.25">
      <c r="C815" s="72" t="s">
        <v>66</v>
      </c>
      <c r="D815" s="492" t="s">
        <v>498</v>
      </c>
      <c r="E815" s="492"/>
      <c r="F815" s="492"/>
      <c r="G815" s="492"/>
      <c r="H815" s="73" t="s">
        <v>506</v>
      </c>
      <c r="I815" s="73" t="s">
        <v>499</v>
      </c>
      <c r="J815" s="74" t="s">
        <v>510</v>
      </c>
      <c r="K815" s="85" t="s">
        <v>511</v>
      </c>
      <c r="L815" s="70" t="s">
        <v>502</v>
      </c>
    </row>
    <row r="816" spans="3:12" hidden="1" x14ac:dyDescent="0.25">
      <c r="C816" s="90"/>
      <c r="D816" s="494"/>
      <c r="E816" s="494"/>
      <c r="F816" s="494"/>
      <c r="G816" s="494"/>
      <c r="H816" s="76"/>
      <c r="I816" s="97"/>
      <c r="J816" s="97"/>
      <c r="K816" s="95"/>
      <c r="L816" s="96"/>
    </row>
    <row r="817" spans="3:15" hidden="1" x14ac:dyDescent="0.25">
      <c r="C817" s="90"/>
      <c r="D817" s="495"/>
      <c r="E817" s="495"/>
      <c r="F817" s="495"/>
      <c r="G817" s="495"/>
      <c r="H817" s="76"/>
      <c r="I817" s="97"/>
      <c r="J817" s="97"/>
      <c r="K817" s="95"/>
      <c r="L817" s="96"/>
    </row>
    <row r="818" spans="3:15" hidden="1" x14ac:dyDescent="0.25">
      <c r="C818" s="90"/>
      <c r="D818" s="495"/>
      <c r="E818" s="495"/>
      <c r="F818" s="495"/>
      <c r="G818" s="495"/>
      <c r="H818" s="76"/>
      <c r="I818" s="97"/>
      <c r="J818" s="97"/>
      <c r="K818" s="95"/>
      <c r="L818" s="96"/>
    </row>
    <row r="819" spans="3:15" ht="13.5" hidden="1" thickBot="1" x14ac:dyDescent="0.3">
      <c r="C819" s="83"/>
      <c r="D819" s="485" t="s">
        <v>512</v>
      </c>
      <c r="E819" s="485"/>
      <c r="F819" s="485"/>
      <c r="G819" s="485"/>
      <c r="H819" s="485"/>
      <c r="I819" s="485"/>
      <c r="J819" s="485"/>
      <c r="K819" s="485"/>
      <c r="L819" s="98">
        <f>L816</f>
        <v>0</v>
      </c>
    </row>
    <row r="820" spans="3:15" ht="13.5" hidden="1" thickBot="1" x14ac:dyDescent="0.3">
      <c r="C820" s="477"/>
      <c r="D820" s="478"/>
      <c r="E820" s="478"/>
      <c r="F820" s="478"/>
      <c r="G820" s="478"/>
      <c r="H820" s="478"/>
      <c r="I820" s="478"/>
      <c r="J820" s="478"/>
      <c r="K820" s="478"/>
      <c r="L820" s="479"/>
      <c r="O820" s="119">
        <f>612200-(L826+L804+L808+L809+L810)</f>
        <v>577405.14654724998</v>
      </c>
    </row>
    <row r="821" spans="3:15" hidden="1" x14ac:dyDescent="0.25">
      <c r="C821" s="466" t="s">
        <v>513</v>
      </c>
      <c r="D821" s="467"/>
      <c r="E821" s="467"/>
      <c r="F821" s="467"/>
      <c r="G821" s="467"/>
      <c r="H821" s="467"/>
      <c r="I821" s="467"/>
      <c r="J821" s="467"/>
      <c r="K821" s="467"/>
      <c r="L821" s="468"/>
    </row>
    <row r="822" spans="3:15" hidden="1" x14ac:dyDescent="0.25">
      <c r="C822" s="72" t="s">
        <v>66</v>
      </c>
      <c r="D822" s="492" t="s">
        <v>498</v>
      </c>
      <c r="E822" s="492"/>
      <c r="F822" s="85" t="s">
        <v>499</v>
      </c>
      <c r="G822" s="85" t="s">
        <v>506</v>
      </c>
      <c r="H822" s="73" t="s">
        <v>514</v>
      </c>
      <c r="I822" s="99" t="s">
        <v>515</v>
      </c>
      <c r="J822" s="85" t="s">
        <v>516</v>
      </c>
      <c r="K822" s="99" t="s">
        <v>517</v>
      </c>
      <c r="L822" s="100" t="s">
        <v>502</v>
      </c>
    </row>
    <row r="823" spans="3:15" hidden="1" x14ac:dyDescent="0.25">
      <c r="C823" s="79" t="s">
        <v>519</v>
      </c>
      <c r="D823" s="460" t="str">
        <f>'MANO DE OBRA'!$B$3</f>
        <v>Ayudante</v>
      </c>
      <c r="E823" s="461"/>
      <c r="F823" s="97" t="str">
        <f>'MANO DE OBRA'!$C$2</f>
        <v>DIA</v>
      </c>
      <c r="G823" s="76">
        <v>2</v>
      </c>
      <c r="H823" s="101">
        <f>'MANO DE OBRA'!$D$3</f>
        <v>28981.77</v>
      </c>
      <c r="I823" s="102">
        <v>0.75649999999999995</v>
      </c>
      <c r="J823" s="103">
        <f>(H823+(H823*I823))</f>
        <v>50906.479005000001</v>
      </c>
      <c r="K823" s="76">
        <v>4</v>
      </c>
      <c r="L823" s="96">
        <f>G823*(J823/K823)</f>
        <v>25453.239502500001</v>
      </c>
    </row>
    <row r="824" spans="3:15" hidden="1" x14ac:dyDescent="0.25">
      <c r="C824" s="79"/>
      <c r="D824" s="460"/>
      <c r="E824" s="461"/>
      <c r="F824" s="97"/>
      <c r="G824" s="76"/>
      <c r="H824" s="101"/>
      <c r="I824" s="102"/>
      <c r="J824" s="103"/>
      <c r="K824" s="76"/>
      <c r="L824" s="96"/>
    </row>
    <row r="825" spans="3:15" hidden="1" x14ac:dyDescent="0.25">
      <c r="C825" s="90"/>
      <c r="D825" s="493"/>
      <c r="E825" s="493"/>
      <c r="F825" s="97"/>
      <c r="G825" s="76"/>
      <c r="H825" s="101"/>
      <c r="I825" s="102"/>
      <c r="J825" s="103"/>
      <c r="K825" s="76"/>
      <c r="L825" s="96"/>
    </row>
    <row r="826" spans="3:15" ht="13.5" hidden="1" thickBot="1" x14ac:dyDescent="0.3">
      <c r="C826" s="83"/>
      <c r="D826" s="485" t="s">
        <v>520</v>
      </c>
      <c r="E826" s="485"/>
      <c r="F826" s="485"/>
      <c r="G826" s="485"/>
      <c r="H826" s="485"/>
      <c r="I826" s="485"/>
      <c r="J826" s="485"/>
      <c r="K826" s="485"/>
      <c r="L826" s="98">
        <f>L824+L823</f>
        <v>25453.239502500001</v>
      </c>
    </row>
    <row r="827" spans="3:15" ht="13.5" hidden="1" thickBot="1" x14ac:dyDescent="0.3">
      <c r="C827" s="486"/>
      <c r="D827" s="487"/>
      <c r="E827" s="487"/>
      <c r="F827" s="487"/>
      <c r="G827" s="487"/>
      <c r="H827" s="487"/>
      <c r="I827" s="487"/>
      <c r="J827" s="487"/>
      <c r="K827" s="487"/>
      <c r="L827" s="488"/>
    </row>
    <row r="828" spans="3:15" ht="13.5" hidden="1" thickBot="1" x14ac:dyDescent="0.3">
      <c r="C828" s="489" t="s">
        <v>521</v>
      </c>
      <c r="D828" s="490"/>
      <c r="E828" s="490"/>
      <c r="F828" s="490"/>
      <c r="G828" s="490"/>
      <c r="H828" s="490"/>
      <c r="I828" s="490"/>
      <c r="J828" s="491"/>
      <c r="K828" s="145">
        <f>ROUND(L826+L819+L812+L804,0)</f>
        <v>612200</v>
      </c>
      <c r="L828" s="146"/>
    </row>
    <row r="829" spans="3:15" hidden="1" x14ac:dyDescent="0.25"/>
    <row r="830" spans="3:15" ht="13.5" hidden="1" thickBot="1" x14ac:dyDescent="0.3"/>
    <row r="831" spans="3:15" hidden="1" x14ac:dyDescent="0.25">
      <c r="C831" s="466" t="s">
        <v>495</v>
      </c>
      <c r="D831" s="467"/>
      <c r="E831" s="467"/>
      <c r="F831" s="467"/>
      <c r="G831" s="467"/>
      <c r="H831" s="467"/>
      <c r="I831" s="467"/>
      <c r="J831" s="467"/>
      <c r="K831" s="467"/>
      <c r="L831" s="468"/>
    </row>
    <row r="832" spans="3:15" ht="12.75" hidden="1" customHeight="1" x14ac:dyDescent="0.25">
      <c r="C832" s="469" t="str">
        <f>+PPTO!$A$2</f>
        <v>REPOSICION E INSTALACION VALVULAS DE SECTORIZACION EN DIFERENTES SECTORES DEL MUNICIPIO DE PIEDECUESTA - SANTANDER.</v>
      </c>
      <c r="D832" s="470"/>
      <c r="E832" s="470"/>
      <c r="F832" s="470"/>
      <c r="G832" s="470"/>
      <c r="H832" s="470"/>
      <c r="I832" s="470"/>
      <c r="J832" s="470"/>
      <c r="K832" s="470"/>
      <c r="L832" s="471"/>
    </row>
    <row r="833" spans="3:12" hidden="1" x14ac:dyDescent="0.25">
      <c r="C833" s="472" t="s">
        <v>496</v>
      </c>
      <c r="D833" s="141">
        <f>+PPTO!$A$20</f>
        <v>4</v>
      </c>
      <c r="E833" s="474" t="str">
        <f>+PPTO!$B$20</f>
        <v>SUMINISTRO E INSTALACION DE TUBERIAS Y ACCESORIOS.</v>
      </c>
      <c r="F833" s="475"/>
      <c r="G833" s="475"/>
      <c r="H833" s="475"/>
      <c r="I833" s="475"/>
      <c r="J833" s="475"/>
      <c r="K833" s="475"/>
      <c r="L833" s="70" t="s">
        <v>52</v>
      </c>
    </row>
    <row r="834" spans="3:12" ht="13.5" hidden="1" thickBot="1" x14ac:dyDescent="0.3">
      <c r="C834" s="473"/>
      <c r="D834" s="120">
        <f>+PPTO!A34</f>
        <v>4.1399999999999997</v>
      </c>
      <c r="E834" s="476" t="str">
        <f>+PPTO!B34</f>
        <v xml:space="preserve">Suministro e instalación unión rápida  D=12" </v>
      </c>
      <c r="F834" s="476"/>
      <c r="G834" s="476"/>
      <c r="H834" s="476"/>
      <c r="I834" s="476"/>
      <c r="J834" s="476"/>
      <c r="K834" s="476"/>
      <c r="L834" s="71" t="str">
        <f>+PPTO!C34</f>
        <v>UND</v>
      </c>
    </row>
    <row r="835" spans="3:12" ht="13.5" hidden="1" thickBot="1" x14ac:dyDescent="0.3">
      <c r="C835" s="477"/>
      <c r="D835" s="478"/>
      <c r="E835" s="478"/>
      <c r="F835" s="478"/>
      <c r="G835" s="478"/>
      <c r="H835" s="478"/>
      <c r="I835" s="478"/>
      <c r="J835" s="478"/>
      <c r="K835" s="478"/>
      <c r="L835" s="479"/>
    </row>
    <row r="836" spans="3:12" hidden="1" x14ac:dyDescent="0.25">
      <c r="C836" s="466" t="s">
        <v>497</v>
      </c>
      <c r="D836" s="467"/>
      <c r="E836" s="467"/>
      <c r="F836" s="467"/>
      <c r="G836" s="467"/>
      <c r="H836" s="467"/>
      <c r="I836" s="467"/>
      <c r="J836" s="467"/>
      <c r="K836" s="467"/>
      <c r="L836" s="468"/>
    </row>
    <row r="837" spans="3:12" hidden="1" x14ac:dyDescent="0.25">
      <c r="C837" s="72" t="s">
        <v>66</v>
      </c>
      <c r="D837" s="492" t="s">
        <v>498</v>
      </c>
      <c r="E837" s="492"/>
      <c r="F837" s="492"/>
      <c r="G837" s="492"/>
      <c r="H837" s="492"/>
      <c r="I837" s="73" t="s">
        <v>499</v>
      </c>
      <c r="J837" s="74" t="s">
        <v>500</v>
      </c>
      <c r="K837" s="73" t="s">
        <v>501</v>
      </c>
      <c r="L837" s="70" t="s">
        <v>502</v>
      </c>
    </row>
    <row r="838" spans="3:12" hidden="1" x14ac:dyDescent="0.25">
      <c r="C838" s="75"/>
      <c r="D838" s="460"/>
      <c r="E838" s="499"/>
      <c r="F838" s="499"/>
      <c r="G838" s="499"/>
      <c r="H838" s="461"/>
      <c r="I838" s="76"/>
      <c r="J838" s="76"/>
      <c r="K838" s="77"/>
      <c r="L838" s="78"/>
    </row>
    <row r="839" spans="3:12" hidden="1" x14ac:dyDescent="0.25">
      <c r="C839" s="75"/>
      <c r="D839" s="493"/>
      <c r="E839" s="493"/>
      <c r="F839" s="493"/>
      <c r="G839" s="493"/>
      <c r="H839" s="493"/>
      <c r="I839" s="76"/>
      <c r="J839" s="80"/>
      <c r="K839" s="81"/>
      <c r="L839" s="78"/>
    </row>
    <row r="840" spans="3:12" hidden="1" x14ac:dyDescent="0.25">
      <c r="C840" s="79"/>
      <c r="D840" s="493" t="s">
        <v>503</v>
      </c>
      <c r="E840" s="493"/>
      <c r="F840" s="493"/>
      <c r="G840" s="493"/>
      <c r="H840" s="493"/>
      <c r="I840" s="76" t="s">
        <v>61</v>
      </c>
      <c r="J840" s="80">
        <v>1</v>
      </c>
      <c r="K840" s="81">
        <f>L863*0.1</f>
        <v>3393.7652670000007</v>
      </c>
      <c r="L840" s="82">
        <f>K840/J840</f>
        <v>3393.7652670000007</v>
      </c>
    </row>
    <row r="841" spans="3:12" ht="13.5" hidden="1" thickBot="1" x14ac:dyDescent="0.3">
      <c r="C841" s="83"/>
      <c r="D841" s="485" t="s">
        <v>504</v>
      </c>
      <c r="E841" s="485"/>
      <c r="F841" s="485"/>
      <c r="G841" s="485"/>
      <c r="H841" s="485"/>
      <c r="I841" s="485"/>
      <c r="J841" s="485"/>
      <c r="K841" s="485"/>
      <c r="L841" s="84">
        <f>SUM(L838:L840)</f>
        <v>3393.7652670000007</v>
      </c>
    </row>
    <row r="842" spans="3:12" ht="13.5" hidden="1" thickBot="1" x14ac:dyDescent="0.3">
      <c r="C842" s="477"/>
      <c r="D842" s="478"/>
      <c r="E842" s="478"/>
      <c r="F842" s="478"/>
      <c r="G842" s="478"/>
      <c r="H842" s="478"/>
      <c r="I842" s="478"/>
      <c r="J842" s="478"/>
      <c r="K842" s="478"/>
      <c r="L842" s="479"/>
    </row>
    <row r="843" spans="3:12" hidden="1" x14ac:dyDescent="0.25">
      <c r="C843" s="466" t="s">
        <v>505</v>
      </c>
      <c r="D843" s="467"/>
      <c r="E843" s="467"/>
      <c r="F843" s="467"/>
      <c r="G843" s="467"/>
      <c r="H843" s="467"/>
      <c r="I843" s="467"/>
      <c r="J843" s="467"/>
      <c r="K843" s="467"/>
      <c r="L843" s="468"/>
    </row>
    <row r="844" spans="3:12" ht="25.5" hidden="1" x14ac:dyDescent="0.25">
      <c r="C844" s="72" t="s">
        <v>66</v>
      </c>
      <c r="D844" s="492" t="s">
        <v>498</v>
      </c>
      <c r="E844" s="492"/>
      <c r="F844" s="492"/>
      <c r="G844" s="492"/>
      <c r="H844" s="73" t="s">
        <v>499</v>
      </c>
      <c r="I844" s="74" t="s">
        <v>506</v>
      </c>
      <c r="J844" s="73" t="s">
        <v>501</v>
      </c>
      <c r="K844" s="85" t="s">
        <v>507</v>
      </c>
      <c r="L844" s="70" t="s">
        <v>502</v>
      </c>
    </row>
    <row r="845" spans="3:12" hidden="1" x14ac:dyDescent="0.25">
      <c r="C845" s="113" t="s">
        <v>731</v>
      </c>
      <c r="D845" s="498" t="str">
        <f>+MATERIALES!$B$302</f>
        <v>Lubricante tarro</v>
      </c>
      <c r="E845" s="496"/>
      <c r="F845" s="496"/>
      <c r="G845" s="497"/>
      <c r="H845" s="73" t="str">
        <f>+MATERIALES!$C$302</f>
        <v>Kg</v>
      </c>
      <c r="I845" s="76">
        <v>0.01</v>
      </c>
      <c r="J845" s="86">
        <f>+MATERIALES!$D$302</f>
        <v>43900</v>
      </c>
      <c r="K845" s="87">
        <v>0.01</v>
      </c>
      <c r="L845" s="88">
        <f>I845*J845*(1+K845)</f>
        <v>443.39</v>
      </c>
    </row>
    <row r="846" spans="3:12" hidden="1" x14ac:dyDescent="0.25">
      <c r="C846" s="90" t="s">
        <v>732</v>
      </c>
      <c r="D846" s="498" t="str">
        <f>+MATERIALES!$B$303</f>
        <v>Limpiador PVC 760 grms</v>
      </c>
      <c r="E846" s="496"/>
      <c r="F846" s="496"/>
      <c r="G846" s="497"/>
      <c r="H846" s="73" t="str">
        <f>+MATERIALES!$C$303</f>
        <v>und</v>
      </c>
      <c r="I846" s="76">
        <v>0.05</v>
      </c>
      <c r="J846" s="86">
        <f>+MATERIALES!$D$303</f>
        <v>40900</v>
      </c>
      <c r="K846" s="87">
        <v>0.01</v>
      </c>
      <c r="L846" s="88">
        <f>I846*J846*(1+K846)</f>
        <v>2065.4499999999998</v>
      </c>
    </row>
    <row r="847" spans="3:12" hidden="1" x14ac:dyDescent="0.25">
      <c r="C847" s="90" t="s">
        <v>733</v>
      </c>
      <c r="D847" s="498" t="str">
        <f>+MATERIALES!$B$304</f>
        <v>Soldadura PVC 1/4 galon</v>
      </c>
      <c r="E847" s="496"/>
      <c r="F847" s="496"/>
      <c r="G847" s="497"/>
      <c r="H847" s="73" t="str">
        <f>+MATERIALES!$C$304</f>
        <v>und</v>
      </c>
      <c r="I847" s="76">
        <v>0.05</v>
      </c>
      <c r="J847" s="86">
        <f>+MATERIALES!$D$304</f>
        <v>84900</v>
      </c>
      <c r="K847" s="87">
        <v>0.01</v>
      </c>
      <c r="L847" s="88">
        <f>I847*J847*(1+K847)</f>
        <v>4287.45</v>
      </c>
    </row>
    <row r="848" spans="3:12" hidden="1" x14ac:dyDescent="0.25">
      <c r="C848" s="113" t="s">
        <v>729</v>
      </c>
      <c r="D848" s="498" t="str">
        <f>+MATERIALES!B301</f>
        <v xml:space="preserve">unión rápida  D=12" </v>
      </c>
      <c r="E848" s="496"/>
      <c r="F848" s="496"/>
      <c r="G848" s="497"/>
      <c r="H848" s="73" t="str">
        <f>+MATERIALES!C301</f>
        <v>und</v>
      </c>
      <c r="I848" s="91">
        <v>1</v>
      </c>
      <c r="J848" s="86">
        <f>+MATERIALES!D301</f>
        <v>904672</v>
      </c>
      <c r="K848" s="93">
        <v>0</v>
      </c>
      <c r="L848" s="88">
        <f>I848*J848*(1+K848)</f>
        <v>904672</v>
      </c>
    </row>
    <row r="849" spans="3:15" ht="13.5" hidden="1" thickBot="1" x14ac:dyDescent="0.3">
      <c r="C849" s="94"/>
      <c r="D849" s="485" t="s">
        <v>508</v>
      </c>
      <c r="E849" s="485"/>
      <c r="F849" s="485"/>
      <c r="G849" s="485"/>
      <c r="H849" s="485"/>
      <c r="I849" s="485"/>
      <c r="J849" s="485"/>
      <c r="K849" s="485"/>
      <c r="L849" s="84">
        <f>SUM(L845:L848)</f>
        <v>911468.29</v>
      </c>
    </row>
    <row r="850" spans="3:15" ht="13.5" hidden="1" thickBot="1" x14ac:dyDescent="0.3">
      <c r="C850" s="486"/>
      <c r="D850" s="487"/>
      <c r="E850" s="487"/>
      <c r="F850" s="487"/>
      <c r="G850" s="487"/>
      <c r="H850" s="487"/>
      <c r="I850" s="487"/>
      <c r="J850" s="487"/>
      <c r="K850" s="487"/>
      <c r="L850" s="488"/>
    </row>
    <row r="851" spans="3:15" hidden="1" x14ac:dyDescent="0.25">
      <c r="C851" s="466" t="s">
        <v>509</v>
      </c>
      <c r="D851" s="467"/>
      <c r="E851" s="467"/>
      <c r="F851" s="467"/>
      <c r="G851" s="467"/>
      <c r="H851" s="467"/>
      <c r="I851" s="467"/>
      <c r="J851" s="467"/>
      <c r="K851" s="467"/>
      <c r="L851" s="468"/>
    </row>
    <row r="852" spans="3:15" hidden="1" x14ac:dyDescent="0.25">
      <c r="C852" s="72" t="s">
        <v>66</v>
      </c>
      <c r="D852" s="492" t="s">
        <v>498</v>
      </c>
      <c r="E852" s="492"/>
      <c r="F852" s="492"/>
      <c r="G852" s="492"/>
      <c r="H852" s="73" t="s">
        <v>506</v>
      </c>
      <c r="I852" s="73" t="s">
        <v>499</v>
      </c>
      <c r="J852" s="74" t="s">
        <v>510</v>
      </c>
      <c r="K852" s="85" t="s">
        <v>511</v>
      </c>
      <c r="L852" s="70" t="s">
        <v>502</v>
      </c>
    </row>
    <row r="853" spans="3:15" hidden="1" x14ac:dyDescent="0.25">
      <c r="C853" s="90"/>
      <c r="D853" s="494"/>
      <c r="E853" s="494"/>
      <c r="F853" s="494"/>
      <c r="G853" s="494"/>
      <c r="H853" s="76"/>
      <c r="I853" s="97"/>
      <c r="J853" s="97"/>
      <c r="K853" s="95"/>
      <c r="L853" s="96"/>
    </row>
    <row r="854" spans="3:15" hidden="1" x14ac:dyDescent="0.25">
      <c r="C854" s="90"/>
      <c r="D854" s="495"/>
      <c r="E854" s="495"/>
      <c r="F854" s="495"/>
      <c r="G854" s="495"/>
      <c r="H854" s="76"/>
      <c r="I854" s="97"/>
      <c r="J854" s="97"/>
      <c r="K854" s="95"/>
      <c r="L854" s="96"/>
    </row>
    <row r="855" spans="3:15" hidden="1" x14ac:dyDescent="0.25">
      <c r="C855" s="90"/>
      <c r="D855" s="495"/>
      <c r="E855" s="495"/>
      <c r="F855" s="495"/>
      <c r="G855" s="495"/>
      <c r="H855" s="76"/>
      <c r="I855" s="97"/>
      <c r="J855" s="97"/>
      <c r="K855" s="95"/>
      <c r="L855" s="96"/>
    </row>
    <row r="856" spans="3:15" ht="13.5" hidden="1" thickBot="1" x14ac:dyDescent="0.3">
      <c r="C856" s="83"/>
      <c r="D856" s="485" t="s">
        <v>512</v>
      </c>
      <c r="E856" s="485"/>
      <c r="F856" s="485"/>
      <c r="G856" s="485"/>
      <c r="H856" s="485"/>
      <c r="I856" s="485"/>
      <c r="J856" s="485"/>
      <c r="K856" s="485"/>
      <c r="L856" s="98">
        <f>L853</f>
        <v>0</v>
      </c>
    </row>
    <row r="857" spans="3:15" ht="13.5" hidden="1" thickBot="1" x14ac:dyDescent="0.3">
      <c r="C857" s="477"/>
      <c r="D857" s="478"/>
      <c r="E857" s="478"/>
      <c r="F857" s="478"/>
      <c r="G857" s="478"/>
      <c r="H857" s="478"/>
      <c r="I857" s="478"/>
      <c r="J857" s="478"/>
      <c r="K857" s="478"/>
      <c r="L857" s="479"/>
      <c r="O857" s="119">
        <f>948800-(L863+L841+L845+L846+L847)</f>
        <v>904672.29206300003</v>
      </c>
    </row>
    <row r="858" spans="3:15" hidden="1" x14ac:dyDescent="0.25">
      <c r="C858" s="466" t="s">
        <v>513</v>
      </c>
      <c r="D858" s="467"/>
      <c r="E858" s="467"/>
      <c r="F858" s="467"/>
      <c r="G858" s="467"/>
      <c r="H858" s="467"/>
      <c r="I858" s="467"/>
      <c r="J858" s="467"/>
      <c r="K858" s="467"/>
      <c r="L858" s="468"/>
    </row>
    <row r="859" spans="3:15" hidden="1" x14ac:dyDescent="0.25">
      <c r="C859" s="72" t="s">
        <v>66</v>
      </c>
      <c r="D859" s="492" t="s">
        <v>498</v>
      </c>
      <c r="E859" s="492"/>
      <c r="F859" s="85" t="s">
        <v>499</v>
      </c>
      <c r="G859" s="85" t="s">
        <v>506</v>
      </c>
      <c r="H859" s="73" t="s">
        <v>514</v>
      </c>
      <c r="I859" s="99" t="s">
        <v>515</v>
      </c>
      <c r="J859" s="85" t="s">
        <v>516</v>
      </c>
      <c r="K859" s="99" t="s">
        <v>517</v>
      </c>
      <c r="L859" s="100" t="s">
        <v>502</v>
      </c>
    </row>
    <row r="860" spans="3:15" hidden="1" x14ac:dyDescent="0.25">
      <c r="C860" s="79" t="s">
        <v>519</v>
      </c>
      <c r="D860" s="460" t="str">
        <f>'MANO DE OBRA'!$B$3</f>
        <v>Ayudante</v>
      </c>
      <c r="E860" s="461"/>
      <c r="F860" s="97" t="str">
        <f>'MANO DE OBRA'!$C$2</f>
        <v>DIA</v>
      </c>
      <c r="G860" s="76">
        <v>2</v>
      </c>
      <c r="H860" s="101">
        <f>'MANO DE OBRA'!$D$3</f>
        <v>28981.77</v>
      </c>
      <c r="I860" s="102">
        <v>0.75649999999999995</v>
      </c>
      <c r="J860" s="103">
        <f>(H860+(H860*I860))</f>
        <v>50906.479005000001</v>
      </c>
      <c r="K860" s="76">
        <v>3</v>
      </c>
      <c r="L860" s="96">
        <f>G860*(J860/K860)</f>
        <v>33937.652670000003</v>
      </c>
    </row>
    <row r="861" spans="3:15" hidden="1" x14ac:dyDescent="0.25">
      <c r="C861" s="79"/>
      <c r="D861" s="460"/>
      <c r="E861" s="461"/>
      <c r="F861" s="97"/>
      <c r="G861" s="76"/>
      <c r="H861" s="101"/>
      <c r="I861" s="102"/>
      <c r="J861" s="103"/>
      <c r="K861" s="76"/>
      <c r="L861" s="96"/>
    </row>
    <row r="862" spans="3:15" hidden="1" x14ac:dyDescent="0.25">
      <c r="C862" s="90"/>
      <c r="D862" s="493"/>
      <c r="E862" s="493"/>
      <c r="F862" s="97"/>
      <c r="G862" s="76"/>
      <c r="H862" s="101"/>
      <c r="I862" s="102"/>
      <c r="J862" s="103"/>
      <c r="K862" s="76"/>
      <c r="L862" s="96"/>
    </row>
    <row r="863" spans="3:15" ht="13.5" hidden="1" thickBot="1" x14ac:dyDescent="0.3">
      <c r="C863" s="83"/>
      <c r="D863" s="485" t="s">
        <v>520</v>
      </c>
      <c r="E863" s="485"/>
      <c r="F863" s="485"/>
      <c r="G863" s="485"/>
      <c r="H863" s="485"/>
      <c r="I863" s="485"/>
      <c r="J863" s="485"/>
      <c r="K863" s="485"/>
      <c r="L863" s="98">
        <f>L861+L860</f>
        <v>33937.652670000003</v>
      </c>
    </row>
    <row r="864" spans="3:15" ht="13.5" hidden="1" thickBot="1" x14ac:dyDescent="0.3">
      <c r="C864" s="486"/>
      <c r="D864" s="487"/>
      <c r="E864" s="487"/>
      <c r="F864" s="487"/>
      <c r="G864" s="487"/>
      <c r="H864" s="487"/>
      <c r="I864" s="487"/>
      <c r="J864" s="487"/>
      <c r="K864" s="487"/>
      <c r="L864" s="488"/>
    </row>
    <row r="865" spans="3:12" ht="13.5" hidden="1" thickBot="1" x14ac:dyDescent="0.3">
      <c r="C865" s="489" t="s">
        <v>521</v>
      </c>
      <c r="D865" s="490"/>
      <c r="E865" s="490"/>
      <c r="F865" s="490"/>
      <c r="G865" s="490"/>
      <c r="H865" s="490"/>
      <c r="I865" s="490"/>
      <c r="J865" s="491"/>
      <c r="K865" s="145">
        <f>ROUND(L863+L856+L849+L841,0)</f>
        <v>948800</v>
      </c>
      <c r="L865" s="146"/>
    </row>
    <row r="866" spans="3:12" hidden="1" x14ac:dyDescent="0.25"/>
    <row r="867" spans="3:12" ht="13.5" hidden="1" thickBot="1" x14ac:dyDescent="0.3"/>
    <row r="868" spans="3:12" hidden="1" x14ac:dyDescent="0.25">
      <c r="C868" s="466" t="s">
        <v>495</v>
      </c>
      <c r="D868" s="467"/>
      <c r="E868" s="467"/>
      <c r="F868" s="467"/>
      <c r="G868" s="467"/>
      <c r="H868" s="467"/>
      <c r="I868" s="467"/>
      <c r="J868" s="467"/>
      <c r="K868" s="467"/>
      <c r="L868" s="468"/>
    </row>
    <row r="869" spans="3:12" ht="12.75" hidden="1" customHeight="1" x14ac:dyDescent="0.25">
      <c r="C869" s="469" t="str">
        <f>+PPTO!$A$2</f>
        <v>REPOSICION E INSTALACION VALVULAS DE SECTORIZACION EN DIFERENTES SECTORES DEL MUNICIPIO DE PIEDECUESTA - SANTANDER.</v>
      </c>
      <c r="D869" s="470"/>
      <c r="E869" s="470"/>
      <c r="F869" s="470"/>
      <c r="G869" s="470"/>
      <c r="H869" s="470"/>
      <c r="I869" s="470"/>
      <c r="J869" s="470"/>
      <c r="K869" s="470"/>
      <c r="L869" s="471"/>
    </row>
    <row r="870" spans="3:12" hidden="1" x14ac:dyDescent="0.25">
      <c r="C870" s="472" t="s">
        <v>496</v>
      </c>
      <c r="D870" s="141">
        <f>+PPTO!$A$20</f>
        <v>4</v>
      </c>
      <c r="E870" s="474" t="str">
        <f>+PPTO!$B$20</f>
        <v>SUMINISTRO E INSTALACION DE TUBERIAS Y ACCESORIOS.</v>
      </c>
      <c r="F870" s="475"/>
      <c r="G870" s="475"/>
      <c r="H870" s="475"/>
      <c r="I870" s="475"/>
      <c r="J870" s="475"/>
      <c r="K870" s="475"/>
      <c r="L870" s="70" t="s">
        <v>52</v>
      </c>
    </row>
    <row r="871" spans="3:12" ht="13.5" hidden="1" thickBot="1" x14ac:dyDescent="0.3">
      <c r="C871" s="473"/>
      <c r="D871" s="120">
        <f>+PPTO!A35</f>
        <v>4.1500000000000004</v>
      </c>
      <c r="E871" s="476" t="str">
        <f>+PPTO!B35</f>
        <v xml:space="preserve">Suministro e instalación tubería pvc presión rde 21 d= 4" </v>
      </c>
      <c r="F871" s="476"/>
      <c r="G871" s="476"/>
      <c r="H871" s="476"/>
      <c r="I871" s="476"/>
      <c r="J871" s="476"/>
      <c r="K871" s="476"/>
      <c r="L871" s="71" t="str">
        <f>+PPTO!C35</f>
        <v>ML</v>
      </c>
    </row>
    <row r="872" spans="3:12" ht="13.5" hidden="1" thickBot="1" x14ac:dyDescent="0.3">
      <c r="C872" s="477"/>
      <c r="D872" s="478"/>
      <c r="E872" s="478"/>
      <c r="F872" s="478"/>
      <c r="G872" s="478"/>
      <c r="H872" s="478"/>
      <c r="I872" s="478"/>
      <c r="J872" s="478"/>
      <c r="K872" s="478"/>
      <c r="L872" s="479"/>
    </row>
    <row r="873" spans="3:12" hidden="1" x14ac:dyDescent="0.25">
      <c r="C873" s="466" t="s">
        <v>497</v>
      </c>
      <c r="D873" s="467"/>
      <c r="E873" s="467"/>
      <c r="F873" s="467"/>
      <c r="G873" s="467"/>
      <c r="H873" s="467"/>
      <c r="I873" s="467"/>
      <c r="J873" s="467"/>
      <c r="K873" s="467"/>
      <c r="L873" s="468"/>
    </row>
    <row r="874" spans="3:12" hidden="1" x14ac:dyDescent="0.25">
      <c r="C874" s="72" t="s">
        <v>66</v>
      </c>
      <c r="D874" s="492" t="s">
        <v>498</v>
      </c>
      <c r="E874" s="492"/>
      <c r="F874" s="492"/>
      <c r="G874" s="492"/>
      <c r="H874" s="492"/>
      <c r="I874" s="73" t="s">
        <v>499</v>
      </c>
      <c r="J874" s="74" t="s">
        <v>500</v>
      </c>
      <c r="K874" s="73" t="s">
        <v>501</v>
      </c>
      <c r="L874" s="70" t="s">
        <v>502</v>
      </c>
    </row>
    <row r="875" spans="3:12" hidden="1" x14ac:dyDescent="0.25">
      <c r="C875" s="75"/>
      <c r="D875" s="460"/>
      <c r="E875" s="499"/>
      <c r="F875" s="499"/>
      <c r="G875" s="499"/>
      <c r="H875" s="461"/>
      <c r="I875" s="76"/>
      <c r="J875" s="76"/>
      <c r="K875" s="77"/>
      <c r="L875" s="78"/>
    </row>
    <row r="876" spans="3:12" hidden="1" x14ac:dyDescent="0.25">
      <c r="C876" s="75"/>
      <c r="D876" s="493"/>
      <c r="E876" s="493"/>
      <c r="F876" s="493"/>
      <c r="G876" s="493"/>
      <c r="H876" s="493"/>
      <c r="I876" s="76"/>
      <c r="J876" s="80"/>
      <c r="K876" s="81"/>
      <c r="L876" s="78"/>
    </row>
    <row r="877" spans="3:12" hidden="1" x14ac:dyDescent="0.25">
      <c r="C877" s="79"/>
      <c r="D877" s="493" t="s">
        <v>503</v>
      </c>
      <c r="E877" s="493"/>
      <c r="F877" s="493"/>
      <c r="G877" s="493"/>
      <c r="H877" s="493"/>
      <c r="I877" s="76" t="s">
        <v>61</v>
      </c>
      <c r="J877" s="80">
        <v>1</v>
      </c>
      <c r="K877" s="81">
        <f>L900*0.1</f>
        <v>1240.6222734000003</v>
      </c>
      <c r="L877" s="82">
        <f>K877/J877</f>
        <v>1240.6222734000003</v>
      </c>
    </row>
    <row r="878" spans="3:12" ht="13.5" hidden="1" thickBot="1" x14ac:dyDescent="0.3">
      <c r="C878" s="83"/>
      <c r="D878" s="485" t="s">
        <v>504</v>
      </c>
      <c r="E878" s="485"/>
      <c r="F878" s="485"/>
      <c r="G878" s="485"/>
      <c r="H878" s="485"/>
      <c r="I878" s="485"/>
      <c r="J878" s="485"/>
      <c r="K878" s="485"/>
      <c r="L878" s="84">
        <f>SUM(L875:L877)</f>
        <v>1240.6222734000003</v>
      </c>
    </row>
    <row r="879" spans="3:12" ht="13.5" hidden="1" thickBot="1" x14ac:dyDescent="0.3">
      <c r="C879" s="477"/>
      <c r="D879" s="478"/>
      <c r="E879" s="478"/>
      <c r="F879" s="478"/>
      <c r="G879" s="478"/>
      <c r="H879" s="478"/>
      <c r="I879" s="478"/>
      <c r="J879" s="478"/>
      <c r="K879" s="478"/>
      <c r="L879" s="479"/>
    </row>
    <row r="880" spans="3:12" hidden="1" x14ac:dyDescent="0.25">
      <c r="C880" s="466" t="s">
        <v>505</v>
      </c>
      <c r="D880" s="467"/>
      <c r="E880" s="467"/>
      <c r="F880" s="467"/>
      <c r="G880" s="467"/>
      <c r="H880" s="467"/>
      <c r="I880" s="467"/>
      <c r="J880" s="467"/>
      <c r="K880" s="467"/>
      <c r="L880" s="468"/>
    </row>
    <row r="881" spans="3:15" ht="25.5" hidden="1" x14ac:dyDescent="0.25">
      <c r="C881" s="72" t="s">
        <v>66</v>
      </c>
      <c r="D881" s="492" t="s">
        <v>498</v>
      </c>
      <c r="E881" s="492"/>
      <c r="F881" s="492"/>
      <c r="G881" s="492"/>
      <c r="H881" s="73" t="s">
        <v>499</v>
      </c>
      <c r="I881" s="74" t="s">
        <v>506</v>
      </c>
      <c r="J881" s="73" t="s">
        <v>501</v>
      </c>
      <c r="K881" s="85" t="s">
        <v>507</v>
      </c>
      <c r="L881" s="70" t="s">
        <v>502</v>
      </c>
    </row>
    <row r="882" spans="3:15" hidden="1" x14ac:dyDescent="0.25">
      <c r="C882" s="113" t="s">
        <v>731</v>
      </c>
      <c r="D882" s="498" t="str">
        <f>+MATERIALES!$B$302</f>
        <v>Lubricante tarro</v>
      </c>
      <c r="E882" s="496"/>
      <c r="F882" s="496"/>
      <c r="G882" s="497"/>
      <c r="H882" s="73" t="str">
        <f>+MATERIALES!$C$302</f>
        <v>Kg</v>
      </c>
      <c r="I882" s="76">
        <v>0.01</v>
      </c>
      <c r="J882" s="86">
        <f>+MATERIALES!$D$302</f>
        <v>43900</v>
      </c>
      <c r="K882" s="87">
        <v>0.01</v>
      </c>
      <c r="L882" s="88">
        <f>I882*J882*(1+K882)</f>
        <v>443.39</v>
      </c>
    </row>
    <row r="883" spans="3:15" hidden="1" x14ac:dyDescent="0.25">
      <c r="C883" s="90" t="s">
        <v>732</v>
      </c>
      <c r="D883" s="498" t="str">
        <f>+MATERIALES!$B$303</f>
        <v>Limpiador PVC 760 grms</v>
      </c>
      <c r="E883" s="496"/>
      <c r="F883" s="496"/>
      <c r="G883" s="497"/>
      <c r="H883" s="73" t="str">
        <f>+MATERIALES!$C$303</f>
        <v>und</v>
      </c>
      <c r="I883" s="76">
        <v>0.05</v>
      </c>
      <c r="J883" s="86">
        <f>+MATERIALES!$D$303</f>
        <v>40900</v>
      </c>
      <c r="K883" s="87">
        <v>0.01</v>
      </c>
      <c r="L883" s="88">
        <f>I883*J883*(1+K883)</f>
        <v>2065.4499999999998</v>
      </c>
    </row>
    <row r="884" spans="3:15" hidden="1" x14ac:dyDescent="0.25">
      <c r="C884" s="90" t="s">
        <v>733</v>
      </c>
      <c r="D884" s="498" t="str">
        <f>+MATERIALES!$B$304</f>
        <v>Soldadura PVC 1/4 galon</v>
      </c>
      <c r="E884" s="496"/>
      <c r="F884" s="496"/>
      <c r="G884" s="497"/>
      <c r="H884" s="73" t="str">
        <f>+MATERIALES!$C$304</f>
        <v>und</v>
      </c>
      <c r="I884" s="76">
        <v>0.05</v>
      </c>
      <c r="J884" s="86">
        <f>+MATERIALES!$D$304</f>
        <v>84900</v>
      </c>
      <c r="K884" s="87">
        <v>0.01</v>
      </c>
      <c r="L884" s="88">
        <f>I884*J884*(1+K884)</f>
        <v>4287.45</v>
      </c>
    </row>
    <row r="885" spans="3:15" hidden="1" x14ac:dyDescent="0.25">
      <c r="C885" s="113" t="s">
        <v>734</v>
      </c>
      <c r="D885" s="498" t="str">
        <f>+MATERIALES!B305</f>
        <v xml:space="preserve">tubería pvc presión rde 21 d= 4" </v>
      </c>
      <c r="E885" s="496"/>
      <c r="F885" s="496"/>
      <c r="G885" s="497"/>
      <c r="H885" s="73" t="str">
        <f>+MATERIALES!C305</f>
        <v>ML.</v>
      </c>
      <c r="I885" s="91">
        <v>1</v>
      </c>
      <c r="J885" s="86">
        <f>+MATERIALES!D305</f>
        <v>216657</v>
      </c>
      <c r="K885" s="93">
        <v>0</v>
      </c>
      <c r="L885" s="88">
        <f>I885*J885*(1+K885)</f>
        <v>216657</v>
      </c>
    </row>
    <row r="886" spans="3:15" ht="13.5" hidden="1" thickBot="1" x14ac:dyDescent="0.3">
      <c r="C886" s="94"/>
      <c r="D886" s="485" t="s">
        <v>508</v>
      </c>
      <c r="E886" s="485"/>
      <c r="F886" s="485"/>
      <c r="G886" s="485"/>
      <c r="H886" s="485"/>
      <c r="I886" s="485"/>
      <c r="J886" s="485"/>
      <c r="K886" s="485"/>
      <c r="L886" s="84">
        <f>SUM(L882:L885)</f>
        <v>223453.29</v>
      </c>
    </row>
    <row r="887" spans="3:15" ht="13.5" hidden="1" thickBot="1" x14ac:dyDescent="0.3">
      <c r="C887" s="486"/>
      <c r="D887" s="487"/>
      <c r="E887" s="487"/>
      <c r="F887" s="487"/>
      <c r="G887" s="487"/>
      <c r="H887" s="487"/>
      <c r="I887" s="487"/>
      <c r="J887" s="487"/>
      <c r="K887" s="487"/>
      <c r="L887" s="488"/>
    </row>
    <row r="888" spans="3:15" hidden="1" x14ac:dyDescent="0.25">
      <c r="C888" s="466" t="s">
        <v>509</v>
      </c>
      <c r="D888" s="467"/>
      <c r="E888" s="467"/>
      <c r="F888" s="467"/>
      <c r="G888" s="467"/>
      <c r="H888" s="467"/>
      <c r="I888" s="467"/>
      <c r="J888" s="467"/>
      <c r="K888" s="467"/>
      <c r="L888" s="468"/>
    </row>
    <row r="889" spans="3:15" hidden="1" x14ac:dyDescent="0.25">
      <c r="C889" s="72" t="s">
        <v>66</v>
      </c>
      <c r="D889" s="492" t="s">
        <v>498</v>
      </c>
      <c r="E889" s="492"/>
      <c r="F889" s="492"/>
      <c r="G889" s="492"/>
      <c r="H889" s="73" t="s">
        <v>506</v>
      </c>
      <c r="I889" s="73" t="s">
        <v>499</v>
      </c>
      <c r="J889" s="74" t="s">
        <v>510</v>
      </c>
      <c r="K889" s="85" t="s">
        <v>511</v>
      </c>
      <c r="L889" s="70" t="s">
        <v>502</v>
      </c>
    </row>
    <row r="890" spans="3:15" hidden="1" x14ac:dyDescent="0.25">
      <c r="C890" s="90"/>
      <c r="D890" s="494"/>
      <c r="E890" s="494"/>
      <c r="F890" s="494"/>
      <c r="G890" s="494"/>
      <c r="H890" s="76"/>
      <c r="I890" s="97"/>
      <c r="J890" s="97"/>
      <c r="K890" s="95"/>
      <c r="L890" s="96"/>
    </row>
    <row r="891" spans="3:15" hidden="1" x14ac:dyDescent="0.25">
      <c r="C891" s="90"/>
      <c r="D891" s="495"/>
      <c r="E891" s="495"/>
      <c r="F891" s="495"/>
      <c r="G891" s="495"/>
      <c r="H891" s="76"/>
      <c r="I891" s="97"/>
      <c r="J891" s="97"/>
      <c r="K891" s="95"/>
      <c r="L891" s="96"/>
    </row>
    <row r="892" spans="3:15" hidden="1" x14ac:dyDescent="0.25">
      <c r="C892" s="90"/>
      <c r="D892" s="495"/>
      <c r="E892" s="495"/>
      <c r="F892" s="495"/>
      <c r="G892" s="495"/>
      <c r="H892" s="76"/>
      <c r="I892" s="97"/>
      <c r="J892" s="97"/>
      <c r="K892" s="95"/>
      <c r="L892" s="96"/>
    </row>
    <row r="893" spans="3:15" ht="13.5" hidden="1" thickBot="1" x14ac:dyDescent="0.3">
      <c r="C893" s="83"/>
      <c r="D893" s="485" t="s">
        <v>512</v>
      </c>
      <c r="E893" s="485"/>
      <c r="F893" s="485"/>
      <c r="G893" s="485"/>
      <c r="H893" s="485"/>
      <c r="I893" s="485"/>
      <c r="J893" s="485"/>
      <c r="K893" s="485"/>
      <c r="L893" s="98">
        <f>L890</f>
        <v>0</v>
      </c>
    </row>
    <row r="894" spans="3:15" ht="13.5" hidden="1" thickBot="1" x14ac:dyDescent="0.3">
      <c r="C894" s="477"/>
      <c r="D894" s="478"/>
      <c r="E894" s="478"/>
      <c r="F894" s="478"/>
      <c r="G894" s="478"/>
      <c r="H894" s="478"/>
      <c r="I894" s="478"/>
      <c r="J894" s="478"/>
      <c r="K894" s="478"/>
      <c r="L894" s="479"/>
      <c r="O894" s="119">
        <f>237100-(L900+L878+L882+L883+L884)</f>
        <v>216656.86499259999</v>
      </c>
    </row>
    <row r="895" spans="3:15" hidden="1" x14ac:dyDescent="0.25">
      <c r="C895" s="466" t="s">
        <v>513</v>
      </c>
      <c r="D895" s="467"/>
      <c r="E895" s="467"/>
      <c r="F895" s="467"/>
      <c r="G895" s="467"/>
      <c r="H895" s="467"/>
      <c r="I895" s="467"/>
      <c r="J895" s="467"/>
      <c r="K895" s="467"/>
      <c r="L895" s="468"/>
    </row>
    <row r="896" spans="3:15" hidden="1" x14ac:dyDescent="0.25">
      <c r="C896" s="72" t="s">
        <v>66</v>
      </c>
      <c r="D896" s="492" t="s">
        <v>498</v>
      </c>
      <c r="E896" s="492"/>
      <c r="F896" s="85" t="s">
        <v>499</v>
      </c>
      <c r="G896" s="85" t="s">
        <v>506</v>
      </c>
      <c r="H896" s="73" t="s">
        <v>514</v>
      </c>
      <c r="I896" s="99" t="s">
        <v>515</v>
      </c>
      <c r="J896" s="85" t="s">
        <v>516</v>
      </c>
      <c r="K896" s="99" t="s">
        <v>517</v>
      </c>
      <c r="L896" s="100" t="s">
        <v>502</v>
      </c>
    </row>
    <row r="897" spans="3:12" hidden="1" x14ac:dyDescent="0.25">
      <c r="C897" s="79" t="s">
        <v>519</v>
      </c>
      <c r="D897" s="460" t="str">
        <f>'MANO DE OBRA'!$B$3</f>
        <v>Ayudante</v>
      </c>
      <c r="E897" s="461"/>
      <c r="F897" s="97" t="str">
        <f>'MANO DE OBRA'!$C$2</f>
        <v>DIA</v>
      </c>
      <c r="G897" s="76">
        <v>2</v>
      </c>
      <c r="H897" s="101">
        <f>'MANO DE OBRA'!$D$3</f>
        <v>28981.77</v>
      </c>
      <c r="I897" s="102">
        <v>0.75649999999999995</v>
      </c>
      <c r="J897" s="103">
        <f>(H897+(H897*I897))</f>
        <v>50906.479005000001</v>
      </c>
      <c r="K897" s="76">
        <v>15</v>
      </c>
      <c r="L897" s="96">
        <f>G897*(J897/K897)</f>
        <v>6787.5305340000004</v>
      </c>
    </row>
    <row r="898" spans="3:12" hidden="1" x14ac:dyDescent="0.25">
      <c r="C898" s="112" t="s">
        <v>526</v>
      </c>
      <c r="D898" s="460" t="str">
        <f>'MANO DE OBRA'!$B$2</f>
        <v>Oficial</v>
      </c>
      <c r="E898" s="461"/>
      <c r="F898" s="97" t="str">
        <f>'MANO DE OBRA'!$C$2</f>
        <v>DIA</v>
      </c>
      <c r="G898" s="76">
        <v>1</v>
      </c>
      <c r="H898" s="101">
        <f>'MANO DE OBRA'!$D$2</f>
        <v>47982</v>
      </c>
      <c r="I898" s="102">
        <v>0.75649999999999995</v>
      </c>
      <c r="J898" s="103">
        <f>(H898+(H898*I898))</f>
        <v>84280.383000000002</v>
      </c>
      <c r="K898" s="76">
        <f>+K897</f>
        <v>15</v>
      </c>
      <c r="L898" s="96">
        <f>G898*(J898/K898)</f>
        <v>5618.6922000000004</v>
      </c>
    </row>
    <row r="899" spans="3:12" hidden="1" x14ac:dyDescent="0.25">
      <c r="C899" s="90"/>
      <c r="D899" s="493"/>
      <c r="E899" s="493"/>
      <c r="F899" s="97"/>
      <c r="G899" s="76"/>
      <c r="H899" s="101"/>
      <c r="I899" s="102"/>
      <c r="J899" s="103"/>
      <c r="K899" s="76"/>
      <c r="L899" s="96"/>
    </row>
    <row r="900" spans="3:12" ht="13.5" hidden="1" thickBot="1" x14ac:dyDescent="0.3">
      <c r="C900" s="83"/>
      <c r="D900" s="485" t="s">
        <v>520</v>
      </c>
      <c r="E900" s="485"/>
      <c r="F900" s="485"/>
      <c r="G900" s="485"/>
      <c r="H900" s="485"/>
      <c r="I900" s="485"/>
      <c r="J900" s="485"/>
      <c r="K900" s="485"/>
      <c r="L900" s="98">
        <f>L898+L897</f>
        <v>12406.222734000001</v>
      </c>
    </row>
    <row r="901" spans="3:12" ht="13.5" hidden="1" thickBot="1" x14ac:dyDescent="0.3">
      <c r="C901" s="486"/>
      <c r="D901" s="487"/>
      <c r="E901" s="487"/>
      <c r="F901" s="487"/>
      <c r="G901" s="487"/>
      <c r="H901" s="487"/>
      <c r="I901" s="487"/>
      <c r="J901" s="487"/>
      <c r="K901" s="487"/>
      <c r="L901" s="488"/>
    </row>
    <row r="902" spans="3:12" ht="13.5" hidden="1" thickBot="1" x14ac:dyDescent="0.3">
      <c r="C902" s="489" t="s">
        <v>521</v>
      </c>
      <c r="D902" s="490"/>
      <c r="E902" s="490"/>
      <c r="F902" s="490"/>
      <c r="G902" s="490"/>
      <c r="H902" s="490"/>
      <c r="I902" s="490"/>
      <c r="J902" s="491"/>
      <c r="K902" s="145">
        <f>ROUND(L900+L893+L886+L878,0)</f>
        <v>237100</v>
      </c>
      <c r="L902" s="146"/>
    </row>
    <row r="903" spans="3:12" hidden="1" x14ac:dyDescent="0.25"/>
    <row r="904" spans="3:12" ht="13.5" hidden="1" thickBot="1" x14ac:dyDescent="0.3"/>
    <row r="905" spans="3:12" hidden="1" x14ac:dyDescent="0.25">
      <c r="C905" s="466" t="s">
        <v>495</v>
      </c>
      <c r="D905" s="467"/>
      <c r="E905" s="467"/>
      <c r="F905" s="467"/>
      <c r="G905" s="467"/>
      <c r="H905" s="467"/>
      <c r="I905" s="467"/>
      <c r="J905" s="467"/>
      <c r="K905" s="467"/>
      <c r="L905" s="468"/>
    </row>
    <row r="906" spans="3:12" ht="12.75" hidden="1" customHeight="1" x14ac:dyDescent="0.25">
      <c r="C906" s="469" t="str">
        <f>+PPTO!$A$2</f>
        <v>REPOSICION E INSTALACION VALVULAS DE SECTORIZACION EN DIFERENTES SECTORES DEL MUNICIPIO DE PIEDECUESTA - SANTANDER.</v>
      </c>
      <c r="D906" s="470"/>
      <c r="E906" s="470"/>
      <c r="F906" s="470"/>
      <c r="G906" s="470"/>
      <c r="H906" s="470"/>
      <c r="I906" s="470"/>
      <c r="J906" s="470"/>
      <c r="K906" s="470"/>
      <c r="L906" s="471"/>
    </row>
    <row r="907" spans="3:12" hidden="1" x14ac:dyDescent="0.25">
      <c r="C907" s="472" t="s">
        <v>496</v>
      </c>
      <c r="D907" s="141">
        <f>+PPTO!$A$20</f>
        <v>4</v>
      </c>
      <c r="E907" s="474" t="str">
        <f>+PPTO!$B$20</f>
        <v>SUMINISTRO E INSTALACION DE TUBERIAS Y ACCESORIOS.</v>
      </c>
      <c r="F907" s="475"/>
      <c r="G907" s="475"/>
      <c r="H907" s="475"/>
      <c r="I907" s="475"/>
      <c r="J907" s="475"/>
      <c r="K907" s="475"/>
      <c r="L907" s="70" t="s">
        <v>52</v>
      </c>
    </row>
    <row r="908" spans="3:12" ht="13.5" hidden="1" thickBot="1" x14ac:dyDescent="0.3">
      <c r="C908" s="473"/>
      <c r="D908" s="120">
        <f>+PPTO!A36</f>
        <v>4.16</v>
      </c>
      <c r="E908" s="476" t="str">
        <f>+PPTO!B36</f>
        <v>Suministro e instalacion tuberia pvc presion rde 21 d= 2"</v>
      </c>
      <c r="F908" s="476"/>
      <c r="G908" s="476"/>
      <c r="H908" s="476"/>
      <c r="I908" s="476"/>
      <c r="J908" s="476"/>
      <c r="K908" s="476"/>
      <c r="L908" s="71" t="str">
        <f>+PPTO!C36</f>
        <v>ML</v>
      </c>
    </row>
    <row r="909" spans="3:12" ht="13.5" hidden="1" thickBot="1" x14ac:dyDescent="0.3">
      <c r="C909" s="477"/>
      <c r="D909" s="478"/>
      <c r="E909" s="478"/>
      <c r="F909" s="478"/>
      <c r="G909" s="478"/>
      <c r="H909" s="478"/>
      <c r="I909" s="478"/>
      <c r="J909" s="478"/>
      <c r="K909" s="478"/>
      <c r="L909" s="479"/>
    </row>
    <row r="910" spans="3:12" hidden="1" x14ac:dyDescent="0.25">
      <c r="C910" s="466" t="s">
        <v>497</v>
      </c>
      <c r="D910" s="467"/>
      <c r="E910" s="467"/>
      <c r="F910" s="467"/>
      <c r="G910" s="467"/>
      <c r="H910" s="467"/>
      <c r="I910" s="467"/>
      <c r="J910" s="467"/>
      <c r="K910" s="467"/>
      <c r="L910" s="468"/>
    </row>
    <row r="911" spans="3:12" hidden="1" x14ac:dyDescent="0.25">
      <c r="C911" s="72" t="s">
        <v>66</v>
      </c>
      <c r="D911" s="492" t="s">
        <v>498</v>
      </c>
      <c r="E911" s="492"/>
      <c r="F911" s="492"/>
      <c r="G911" s="492"/>
      <c r="H911" s="492"/>
      <c r="I911" s="73" t="s">
        <v>499</v>
      </c>
      <c r="J911" s="74" t="s">
        <v>500</v>
      </c>
      <c r="K911" s="73" t="s">
        <v>501</v>
      </c>
      <c r="L911" s="70" t="s">
        <v>502</v>
      </c>
    </row>
    <row r="912" spans="3:12" hidden="1" x14ac:dyDescent="0.25">
      <c r="C912" s="75"/>
      <c r="D912" s="460"/>
      <c r="E912" s="499"/>
      <c r="F912" s="499"/>
      <c r="G912" s="499"/>
      <c r="H912" s="461"/>
      <c r="I912" s="76"/>
      <c r="J912" s="76"/>
      <c r="K912" s="77"/>
      <c r="L912" s="78"/>
    </row>
    <row r="913" spans="3:12" hidden="1" x14ac:dyDescent="0.25">
      <c r="C913" s="75"/>
      <c r="D913" s="493"/>
      <c r="E913" s="493"/>
      <c r="F913" s="493"/>
      <c r="G913" s="493"/>
      <c r="H913" s="493"/>
      <c r="I913" s="76"/>
      <c r="J913" s="80"/>
      <c r="K913" s="81"/>
      <c r="L913" s="78"/>
    </row>
    <row r="914" spans="3:12" hidden="1" x14ac:dyDescent="0.25">
      <c r="C914" s="79"/>
      <c r="D914" s="493" t="s">
        <v>503</v>
      </c>
      <c r="E914" s="493"/>
      <c r="F914" s="493"/>
      <c r="G914" s="493"/>
      <c r="H914" s="493"/>
      <c r="I914" s="76" t="s">
        <v>61</v>
      </c>
      <c r="J914" s="80">
        <v>1</v>
      </c>
      <c r="K914" s="81">
        <f>L937*0.1</f>
        <v>1033.8518945000001</v>
      </c>
      <c r="L914" s="82">
        <f>K914/J914</f>
        <v>1033.8518945000001</v>
      </c>
    </row>
    <row r="915" spans="3:12" ht="13.5" hidden="1" thickBot="1" x14ac:dyDescent="0.3">
      <c r="C915" s="83"/>
      <c r="D915" s="485" t="s">
        <v>504</v>
      </c>
      <c r="E915" s="485"/>
      <c r="F915" s="485"/>
      <c r="G915" s="485"/>
      <c r="H915" s="485"/>
      <c r="I915" s="485"/>
      <c r="J915" s="485"/>
      <c r="K915" s="485"/>
      <c r="L915" s="84">
        <f>SUM(L912:L914)</f>
        <v>1033.8518945000001</v>
      </c>
    </row>
    <row r="916" spans="3:12" ht="13.5" hidden="1" thickBot="1" x14ac:dyDescent="0.3">
      <c r="C916" s="477"/>
      <c r="D916" s="478"/>
      <c r="E916" s="478"/>
      <c r="F916" s="478"/>
      <c r="G916" s="478"/>
      <c r="H916" s="478"/>
      <c r="I916" s="478"/>
      <c r="J916" s="478"/>
      <c r="K916" s="478"/>
      <c r="L916" s="479"/>
    </row>
    <row r="917" spans="3:12" hidden="1" x14ac:dyDescent="0.25">
      <c r="C917" s="466" t="s">
        <v>505</v>
      </c>
      <c r="D917" s="467"/>
      <c r="E917" s="467"/>
      <c r="F917" s="467"/>
      <c r="G917" s="467"/>
      <c r="H917" s="467"/>
      <c r="I917" s="467"/>
      <c r="J917" s="467"/>
      <c r="K917" s="467"/>
      <c r="L917" s="468"/>
    </row>
    <row r="918" spans="3:12" ht="25.5" hidden="1" x14ac:dyDescent="0.25">
      <c r="C918" s="72" t="s">
        <v>66</v>
      </c>
      <c r="D918" s="492" t="s">
        <v>498</v>
      </c>
      <c r="E918" s="492"/>
      <c r="F918" s="492"/>
      <c r="G918" s="492"/>
      <c r="H918" s="73" t="s">
        <v>499</v>
      </c>
      <c r="I918" s="74" t="s">
        <v>506</v>
      </c>
      <c r="J918" s="73" t="s">
        <v>501</v>
      </c>
      <c r="K918" s="85" t="s">
        <v>507</v>
      </c>
      <c r="L918" s="70" t="s">
        <v>502</v>
      </c>
    </row>
    <row r="919" spans="3:12" hidden="1" x14ac:dyDescent="0.25">
      <c r="C919" s="113" t="s">
        <v>731</v>
      </c>
      <c r="D919" s="498" t="str">
        <f>+MATERIALES!$B$302</f>
        <v>Lubricante tarro</v>
      </c>
      <c r="E919" s="496"/>
      <c r="F919" s="496"/>
      <c r="G919" s="497"/>
      <c r="H919" s="73" t="str">
        <f>+MATERIALES!$C$302</f>
        <v>Kg</v>
      </c>
      <c r="I919" s="76">
        <v>0.01</v>
      </c>
      <c r="J919" s="86">
        <f>+MATERIALES!$D$302</f>
        <v>43900</v>
      </c>
      <c r="K919" s="87">
        <v>0.01</v>
      </c>
      <c r="L919" s="88">
        <f>I919*J919*(1+K919)</f>
        <v>443.39</v>
      </c>
    </row>
    <row r="920" spans="3:12" hidden="1" x14ac:dyDescent="0.25">
      <c r="C920" s="90" t="s">
        <v>732</v>
      </c>
      <c r="D920" s="498" t="str">
        <f>+MATERIALES!$B$303</f>
        <v>Limpiador PVC 760 grms</v>
      </c>
      <c r="E920" s="496"/>
      <c r="F920" s="496"/>
      <c r="G920" s="497"/>
      <c r="H920" s="73" t="str">
        <f>+MATERIALES!$C$303</f>
        <v>und</v>
      </c>
      <c r="I920" s="76">
        <v>0.05</v>
      </c>
      <c r="J920" s="86">
        <f>+MATERIALES!$D$303</f>
        <v>40900</v>
      </c>
      <c r="K920" s="87">
        <v>0.01</v>
      </c>
      <c r="L920" s="88">
        <f>I920*J920*(1+K920)</f>
        <v>2065.4499999999998</v>
      </c>
    </row>
    <row r="921" spans="3:12" hidden="1" x14ac:dyDescent="0.25">
      <c r="C921" s="90" t="s">
        <v>733</v>
      </c>
      <c r="D921" s="498" t="str">
        <f>+MATERIALES!$B$304</f>
        <v>Soldadura PVC 1/4 galon</v>
      </c>
      <c r="E921" s="496"/>
      <c r="F921" s="496"/>
      <c r="G921" s="497"/>
      <c r="H921" s="73" t="str">
        <f>+MATERIALES!$C$304</f>
        <v>und</v>
      </c>
      <c r="I921" s="76">
        <v>0.05</v>
      </c>
      <c r="J921" s="86">
        <f>+MATERIALES!$D$304</f>
        <v>84900</v>
      </c>
      <c r="K921" s="87">
        <v>0.01</v>
      </c>
      <c r="L921" s="88">
        <f>I921*J921*(1+K921)</f>
        <v>4287.45</v>
      </c>
    </row>
    <row r="922" spans="3:12" hidden="1" x14ac:dyDescent="0.25">
      <c r="C922" s="113" t="s">
        <v>735</v>
      </c>
      <c r="D922" s="498" t="str">
        <f>+MATERIALES!B306</f>
        <v>tuberia pvc presion rde 21 d= 2"</v>
      </c>
      <c r="E922" s="496"/>
      <c r="F922" s="496"/>
      <c r="G922" s="497"/>
      <c r="H922" s="73" t="str">
        <f>+MATERIALES!C306</f>
        <v>ML.</v>
      </c>
      <c r="I922" s="91">
        <v>1</v>
      </c>
      <c r="J922" s="86">
        <f>+MATERIALES!D306</f>
        <v>52831</v>
      </c>
      <c r="K922" s="93">
        <v>0</v>
      </c>
      <c r="L922" s="88">
        <f>I922*J922*(1+K922)</f>
        <v>52831</v>
      </c>
    </row>
    <row r="923" spans="3:12" ht="13.5" hidden="1" thickBot="1" x14ac:dyDescent="0.3">
      <c r="C923" s="94"/>
      <c r="D923" s="485" t="s">
        <v>508</v>
      </c>
      <c r="E923" s="485"/>
      <c r="F923" s="485"/>
      <c r="G923" s="485"/>
      <c r="H923" s="485"/>
      <c r="I923" s="485"/>
      <c r="J923" s="485"/>
      <c r="K923" s="485"/>
      <c r="L923" s="84">
        <f>SUM(L919:L922)</f>
        <v>59627.29</v>
      </c>
    </row>
    <row r="924" spans="3:12" ht="13.5" hidden="1" thickBot="1" x14ac:dyDescent="0.3">
      <c r="C924" s="486"/>
      <c r="D924" s="487"/>
      <c r="E924" s="487"/>
      <c r="F924" s="487"/>
      <c r="G924" s="487"/>
      <c r="H924" s="487"/>
      <c r="I924" s="487"/>
      <c r="J924" s="487"/>
      <c r="K924" s="487"/>
      <c r="L924" s="488"/>
    </row>
    <row r="925" spans="3:12" hidden="1" x14ac:dyDescent="0.25">
      <c r="C925" s="466" t="s">
        <v>509</v>
      </c>
      <c r="D925" s="467"/>
      <c r="E925" s="467"/>
      <c r="F925" s="467"/>
      <c r="G925" s="467"/>
      <c r="H925" s="467"/>
      <c r="I925" s="467"/>
      <c r="J925" s="467"/>
      <c r="K925" s="467"/>
      <c r="L925" s="468"/>
    </row>
    <row r="926" spans="3:12" hidden="1" x14ac:dyDescent="0.25">
      <c r="C926" s="72" t="s">
        <v>66</v>
      </c>
      <c r="D926" s="492" t="s">
        <v>498</v>
      </c>
      <c r="E926" s="492"/>
      <c r="F926" s="492"/>
      <c r="G926" s="492"/>
      <c r="H926" s="73" t="s">
        <v>506</v>
      </c>
      <c r="I926" s="73" t="s">
        <v>499</v>
      </c>
      <c r="J926" s="74" t="s">
        <v>510</v>
      </c>
      <c r="K926" s="85" t="s">
        <v>511</v>
      </c>
      <c r="L926" s="70" t="s">
        <v>502</v>
      </c>
    </row>
    <row r="927" spans="3:12" hidden="1" x14ac:dyDescent="0.25">
      <c r="C927" s="90"/>
      <c r="D927" s="494"/>
      <c r="E927" s="494"/>
      <c r="F927" s="494"/>
      <c r="G927" s="494"/>
      <c r="H927" s="76"/>
      <c r="I927" s="97"/>
      <c r="J927" s="97"/>
      <c r="K927" s="95"/>
      <c r="L927" s="96"/>
    </row>
    <row r="928" spans="3:12" hidden="1" x14ac:dyDescent="0.25">
      <c r="C928" s="90"/>
      <c r="D928" s="495"/>
      <c r="E928" s="495"/>
      <c r="F928" s="495"/>
      <c r="G928" s="495"/>
      <c r="H928" s="76"/>
      <c r="I928" s="97"/>
      <c r="J928" s="97"/>
      <c r="K928" s="95"/>
      <c r="L928" s="96"/>
    </row>
    <row r="929" spans="3:15" hidden="1" x14ac:dyDescent="0.25">
      <c r="C929" s="90"/>
      <c r="D929" s="495"/>
      <c r="E929" s="495"/>
      <c r="F929" s="495"/>
      <c r="G929" s="495"/>
      <c r="H929" s="76"/>
      <c r="I929" s="97"/>
      <c r="J929" s="97"/>
      <c r="K929" s="95"/>
      <c r="L929" s="96"/>
    </row>
    <row r="930" spans="3:15" ht="13.5" hidden="1" thickBot="1" x14ac:dyDescent="0.3">
      <c r="C930" s="83"/>
      <c r="D930" s="485" t="s">
        <v>512</v>
      </c>
      <c r="E930" s="485"/>
      <c r="F930" s="485"/>
      <c r="G930" s="485"/>
      <c r="H930" s="485"/>
      <c r="I930" s="485"/>
      <c r="J930" s="485"/>
      <c r="K930" s="485"/>
      <c r="L930" s="98">
        <f>L927</f>
        <v>0</v>
      </c>
    </row>
    <row r="931" spans="3:15" ht="13.5" hidden="1" thickBot="1" x14ac:dyDescent="0.3">
      <c r="C931" s="477"/>
      <c r="D931" s="478"/>
      <c r="E931" s="478"/>
      <c r="F931" s="478"/>
      <c r="G931" s="478"/>
      <c r="H931" s="478"/>
      <c r="I931" s="478"/>
      <c r="J931" s="478"/>
      <c r="K931" s="478"/>
      <c r="L931" s="479"/>
      <c r="O931" s="119">
        <f>71000-(L937+L915+L919+L920+L921)</f>
        <v>52831.3391605</v>
      </c>
    </row>
    <row r="932" spans="3:15" hidden="1" x14ac:dyDescent="0.25">
      <c r="C932" s="466" t="s">
        <v>513</v>
      </c>
      <c r="D932" s="467"/>
      <c r="E932" s="467"/>
      <c r="F932" s="467"/>
      <c r="G932" s="467"/>
      <c r="H932" s="467"/>
      <c r="I932" s="467"/>
      <c r="J932" s="467"/>
      <c r="K932" s="467"/>
      <c r="L932" s="468"/>
    </row>
    <row r="933" spans="3:15" hidden="1" x14ac:dyDescent="0.25">
      <c r="C933" s="72" t="s">
        <v>66</v>
      </c>
      <c r="D933" s="492" t="s">
        <v>498</v>
      </c>
      <c r="E933" s="492"/>
      <c r="F933" s="85" t="s">
        <v>499</v>
      </c>
      <c r="G933" s="85" t="s">
        <v>506</v>
      </c>
      <c r="H933" s="73" t="s">
        <v>514</v>
      </c>
      <c r="I933" s="99" t="s">
        <v>515</v>
      </c>
      <c r="J933" s="85" t="s">
        <v>516</v>
      </c>
      <c r="K933" s="99" t="s">
        <v>517</v>
      </c>
      <c r="L933" s="100" t="s">
        <v>502</v>
      </c>
    </row>
    <row r="934" spans="3:15" hidden="1" x14ac:dyDescent="0.25">
      <c r="C934" s="79" t="s">
        <v>519</v>
      </c>
      <c r="D934" s="460" t="str">
        <f>'MANO DE OBRA'!$B$3</f>
        <v>Ayudante</v>
      </c>
      <c r="E934" s="461"/>
      <c r="F934" s="97" t="str">
        <f>'MANO DE OBRA'!$C$2</f>
        <v>DIA</v>
      </c>
      <c r="G934" s="76">
        <v>2</v>
      </c>
      <c r="H934" s="101">
        <f>'MANO DE OBRA'!$D$3</f>
        <v>28981.77</v>
      </c>
      <c r="I934" s="102">
        <v>0.75649999999999995</v>
      </c>
      <c r="J934" s="103">
        <f>(H934+(H934*I934))</f>
        <v>50906.479005000001</v>
      </c>
      <c r="K934" s="76">
        <v>18</v>
      </c>
      <c r="L934" s="96">
        <f>G934*(J934/K934)</f>
        <v>5656.2754450000002</v>
      </c>
    </row>
    <row r="935" spans="3:15" hidden="1" x14ac:dyDescent="0.25">
      <c r="C935" s="112" t="s">
        <v>526</v>
      </c>
      <c r="D935" s="460" t="str">
        <f>'MANO DE OBRA'!$B$2</f>
        <v>Oficial</v>
      </c>
      <c r="E935" s="461"/>
      <c r="F935" s="97" t="str">
        <f>'MANO DE OBRA'!$C$2</f>
        <v>DIA</v>
      </c>
      <c r="G935" s="76">
        <v>1</v>
      </c>
      <c r="H935" s="101">
        <f>'MANO DE OBRA'!$D$2</f>
        <v>47982</v>
      </c>
      <c r="I935" s="102">
        <v>0.75649999999999995</v>
      </c>
      <c r="J935" s="103">
        <f>(H935+(H935*I935))</f>
        <v>84280.383000000002</v>
      </c>
      <c r="K935" s="76">
        <f>+K934</f>
        <v>18</v>
      </c>
      <c r="L935" s="96">
        <f>G935*(J935/K935)</f>
        <v>4682.2435000000005</v>
      </c>
    </row>
    <row r="936" spans="3:15" hidden="1" x14ac:dyDescent="0.25">
      <c r="C936" s="90"/>
      <c r="D936" s="493"/>
      <c r="E936" s="493"/>
      <c r="F936" s="97"/>
      <c r="G936" s="76"/>
      <c r="H936" s="101"/>
      <c r="I936" s="102"/>
      <c r="J936" s="103"/>
      <c r="K936" s="76"/>
      <c r="L936" s="96"/>
    </row>
    <row r="937" spans="3:15" ht="13.5" hidden="1" thickBot="1" x14ac:dyDescent="0.3">
      <c r="C937" s="83"/>
      <c r="D937" s="485" t="s">
        <v>520</v>
      </c>
      <c r="E937" s="485"/>
      <c r="F937" s="485"/>
      <c r="G937" s="485"/>
      <c r="H937" s="485"/>
      <c r="I937" s="485"/>
      <c r="J937" s="485"/>
      <c r="K937" s="485"/>
      <c r="L937" s="98">
        <f>L935+L934</f>
        <v>10338.518945</v>
      </c>
    </row>
    <row r="938" spans="3:15" ht="13.5" hidden="1" thickBot="1" x14ac:dyDescent="0.3">
      <c r="C938" s="486"/>
      <c r="D938" s="487"/>
      <c r="E938" s="487"/>
      <c r="F938" s="487"/>
      <c r="G938" s="487"/>
      <c r="H938" s="487"/>
      <c r="I938" s="487"/>
      <c r="J938" s="487"/>
      <c r="K938" s="487"/>
      <c r="L938" s="488"/>
    </row>
    <row r="939" spans="3:15" ht="13.5" hidden="1" thickBot="1" x14ac:dyDescent="0.3">
      <c r="C939" s="489" t="s">
        <v>521</v>
      </c>
      <c r="D939" s="490"/>
      <c r="E939" s="490"/>
      <c r="F939" s="490"/>
      <c r="G939" s="490"/>
      <c r="H939" s="490"/>
      <c r="I939" s="490"/>
      <c r="J939" s="491"/>
      <c r="K939" s="145">
        <f>ROUND(L937+L930+L923+L915,0)</f>
        <v>71000</v>
      </c>
      <c r="L939" s="146"/>
    </row>
    <row r="940" spans="3:15" hidden="1" x14ac:dyDescent="0.25"/>
    <row r="941" spans="3:15" ht="13.5" hidden="1" thickBot="1" x14ac:dyDescent="0.3"/>
    <row r="942" spans="3:15" hidden="1" x14ac:dyDescent="0.25">
      <c r="C942" s="466" t="s">
        <v>495</v>
      </c>
      <c r="D942" s="467"/>
      <c r="E942" s="467"/>
      <c r="F942" s="467"/>
      <c r="G942" s="467"/>
      <c r="H942" s="467"/>
      <c r="I942" s="467"/>
      <c r="J942" s="467"/>
      <c r="K942" s="467"/>
      <c r="L942" s="468"/>
    </row>
    <row r="943" spans="3:15" ht="12.75" hidden="1" customHeight="1" x14ac:dyDescent="0.25">
      <c r="C943" s="469" t="str">
        <f>+PPTO!$A$2</f>
        <v>REPOSICION E INSTALACION VALVULAS DE SECTORIZACION EN DIFERENTES SECTORES DEL MUNICIPIO DE PIEDECUESTA - SANTANDER.</v>
      </c>
      <c r="D943" s="470"/>
      <c r="E943" s="470"/>
      <c r="F943" s="470"/>
      <c r="G943" s="470"/>
      <c r="H943" s="470"/>
      <c r="I943" s="470"/>
      <c r="J943" s="470"/>
      <c r="K943" s="470"/>
      <c r="L943" s="471"/>
    </row>
    <row r="944" spans="3:15" hidden="1" x14ac:dyDescent="0.25">
      <c r="C944" s="472" t="s">
        <v>496</v>
      </c>
      <c r="D944" s="141">
        <f>+PPTO!$A$20</f>
        <v>4</v>
      </c>
      <c r="E944" s="474" t="str">
        <f>+PPTO!$B$20</f>
        <v>SUMINISTRO E INSTALACION DE TUBERIAS Y ACCESORIOS.</v>
      </c>
      <c r="F944" s="475"/>
      <c r="G944" s="475"/>
      <c r="H944" s="475"/>
      <c r="I944" s="475"/>
      <c r="J944" s="475"/>
      <c r="K944" s="475"/>
      <c r="L944" s="70" t="s">
        <v>52</v>
      </c>
    </row>
    <row r="945" spans="3:12" ht="13.5" hidden="1" thickBot="1" x14ac:dyDescent="0.3">
      <c r="C945" s="473"/>
      <c r="D945" s="120">
        <f>+PPTO!A37</f>
        <v>4.17</v>
      </c>
      <c r="E945" s="476" t="str">
        <f>+PPTO!B37</f>
        <v>Suministro e instalacion tuberia pvc presion rde 21 d= 3"</v>
      </c>
      <c r="F945" s="476"/>
      <c r="G945" s="476"/>
      <c r="H945" s="476"/>
      <c r="I945" s="476"/>
      <c r="J945" s="476"/>
      <c r="K945" s="476"/>
      <c r="L945" s="71" t="str">
        <f>+PPTO!C37</f>
        <v>ML</v>
      </c>
    </row>
    <row r="946" spans="3:12" ht="13.5" hidden="1" thickBot="1" x14ac:dyDescent="0.3">
      <c r="C946" s="477"/>
      <c r="D946" s="478"/>
      <c r="E946" s="478"/>
      <c r="F946" s="478"/>
      <c r="G946" s="478"/>
      <c r="H946" s="478"/>
      <c r="I946" s="478"/>
      <c r="J946" s="478"/>
      <c r="K946" s="478"/>
      <c r="L946" s="479"/>
    </row>
    <row r="947" spans="3:12" hidden="1" x14ac:dyDescent="0.25">
      <c r="C947" s="466" t="s">
        <v>497</v>
      </c>
      <c r="D947" s="467"/>
      <c r="E947" s="467"/>
      <c r="F947" s="467"/>
      <c r="G947" s="467"/>
      <c r="H947" s="467"/>
      <c r="I947" s="467"/>
      <c r="J947" s="467"/>
      <c r="K947" s="467"/>
      <c r="L947" s="468"/>
    </row>
    <row r="948" spans="3:12" hidden="1" x14ac:dyDescent="0.25">
      <c r="C948" s="72" t="s">
        <v>66</v>
      </c>
      <c r="D948" s="492" t="s">
        <v>498</v>
      </c>
      <c r="E948" s="492"/>
      <c r="F948" s="492"/>
      <c r="G948" s="492"/>
      <c r="H948" s="492"/>
      <c r="I948" s="73" t="s">
        <v>499</v>
      </c>
      <c r="J948" s="74" t="s">
        <v>500</v>
      </c>
      <c r="K948" s="73" t="s">
        <v>501</v>
      </c>
      <c r="L948" s="70" t="s">
        <v>502</v>
      </c>
    </row>
    <row r="949" spans="3:12" hidden="1" x14ac:dyDescent="0.25">
      <c r="C949" s="75"/>
      <c r="D949" s="460"/>
      <c r="E949" s="499"/>
      <c r="F949" s="499"/>
      <c r="G949" s="499"/>
      <c r="H949" s="461"/>
      <c r="I949" s="76"/>
      <c r="J949" s="76"/>
      <c r="K949" s="77"/>
      <c r="L949" s="78"/>
    </row>
    <row r="950" spans="3:12" hidden="1" x14ac:dyDescent="0.25">
      <c r="C950" s="75"/>
      <c r="D950" s="493"/>
      <c r="E950" s="493"/>
      <c r="F950" s="493"/>
      <c r="G950" s="493"/>
      <c r="H950" s="493"/>
      <c r="I950" s="76"/>
      <c r="J950" s="80"/>
      <c r="K950" s="81"/>
      <c r="L950" s="78"/>
    </row>
    <row r="951" spans="3:12" hidden="1" x14ac:dyDescent="0.25">
      <c r="C951" s="79"/>
      <c r="D951" s="493" t="s">
        <v>503</v>
      </c>
      <c r="E951" s="493"/>
      <c r="F951" s="493"/>
      <c r="G951" s="493"/>
      <c r="H951" s="493"/>
      <c r="I951" s="76" t="s">
        <v>61</v>
      </c>
      <c r="J951" s="80">
        <v>1</v>
      </c>
      <c r="K951" s="81">
        <f>L974*0.1</f>
        <v>1094.6667118235296</v>
      </c>
      <c r="L951" s="82">
        <f>K951/J951</f>
        <v>1094.6667118235296</v>
      </c>
    </row>
    <row r="952" spans="3:12" ht="13.5" hidden="1" thickBot="1" x14ac:dyDescent="0.3">
      <c r="C952" s="83"/>
      <c r="D952" s="485" t="s">
        <v>504</v>
      </c>
      <c r="E952" s="485"/>
      <c r="F952" s="485"/>
      <c r="G952" s="485"/>
      <c r="H952" s="485"/>
      <c r="I952" s="485"/>
      <c r="J952" s="485"/>
      <c r="K952" s="485"/>
      <c r="L952" s="84">
        <f>SUM(L949:L951)</f>
        <v>1094.6667118235296</v>
      </c>
    </row>
    <row r="953" spans="3:12" ht="13.5" hidden="1" thickBot="1" x14ac:dyDescent="0.3">
      <c r="C953" s="477"/>
      <c r="D953" s="478"/>
      <c r="E953" s="478"/>
      <c r="F953" s="478"/>
      <c r="G953" s="478"/>
      <c r="H953" s="478"/>
      <c r="I953" s="478"/>
      <c r="J953" s="478"/>
      <c r="K953" s="478"/>
      <c r="L953" s="479"/>
    </row>
    <row r="954" spans="3:12" hidden="1" x14ac:dyDescent="0.25">
      <c r="C954" s="466" t="s">
        <v>505</v>
      </c>
      <c r="D954" s="467"/>
      <c r="E954" s="467"/>
      <c r="F954" s="467"/>
      <c r="G954" s="467"/>
      <c r="H954" s="467"/>
      <c r="I954" s="467"/>
      <c r="J954" s="467"/>
      <c r="K954" s="467"/>
      <c r="L954" s="468"/>
    </row>
    <row r="955" spans="3:12" ht="25.5" hidden="1" x14ac:dyDescent="0.25">
      <c r="C955" s="72" t="s">
        <v>66</v>
      </c>
      <c r="D955" s="492" t="s">
        <v>498</v>
      </c>
      <c r="E955" s="492"/>
      <c r="F955" s="492"/>
      <c r="G955" s="492"/>
      <c r="H955" s="73" t="s">
        <v>499</v>
      </c>
      <c r="I955" s="74" t="s">
        <v>506</v>
      </c>
      <c r="J955" s="73" t="s">
        <v>501</v>
      </c>
      <c r="K955" s="85" t="s">
        <v>507</v>
      </c>
      <c r="L955" s="70" t="s">
        <v>502</v>
      </c>
    </row>
    <row r="956" spans="3:12" hidden="1" x14ac:dyDescent="0.25">
      <c r="C956" s="113" t="s">
        <v>731</v>
      </c>
      <c r="D956" s="498" t="str">
        <f>+MATERIALES!$B$302</f>
        <v>Lubricante tarro</v>
      </c>
      <c r="E956" s="496"/>
      <c r="F956" s="496"/>
      <c r="G956" s="497"/>
      <c r="H956" s="73" t="str">
        <f>+MATERIALES!$C$302</f>
        <v>Kg</v>
      </c>
      <c r="I956" s="76">
        <v>0.01</v>
      </c>
      <c r="J956" s="86">
        <f>+MATERIALES!$D$302</f>
        <v>43900</v>
      </c>
      <c r="K956" s="87">
        <v>0.01</v>
      </c>
      <c r="L956" s="88">
        <f>I956*J956*(1+K956)</f>
        <v>443.39</v>
      </c>
    </row>
    <row r="957" spans="3:12" hidden="1" x14ac:dyDescent="0.25">
      <c r="C957" s="90" t="s">
        <v>732</v>
      </c>
      <c r="D957" s="498" t="str">
        <f>+MATERIALES!$B$303</f>
        <v>Limpiador PVC 760 grms</v>
      </c>
      <c r="E957" s="496"/>
      <c r="F957" s="496"/>
      <c r="G957" s="497"/>
      <c r="H957" s="73" t="str">
        <f>+MATERIALES!$C$303</f>
        <v>und</v>
      </c>
      <c r="I957" s="76">
        <v>0.05</v>
      </c>
      <c r="J957" s="86">
        <f>+MATERIALES!$D$303</f>
        <v>40900</v>
      </c>
      <c r="K957" s="87">
        <v>0.01</v>
      </c>
      <c r="L957" s="88">
        <f>I957*J957*(1+K957)</f>
        <v>2065.4499999999998</v>
      </c>
    </row>
    <row r="958" spans="3:12" hidden="1" x14ac:dyDescent="0.25">
      <c r="C958" s="90" t="s">
        <v>733</v>
      </c>
      <c r="D958" s="498" t="str">
        <f>+MATERIALES!$B$304</f>
        <v>Soldadura PVC 1/4 galon</v>
      </c>
      <c r="E958" s="496"/>
      <c r="F958" s="496"/>
      <c r="G958" s="497"/>
      <c r="H958" s="73" t="str">
        <f>+MATERIALES!$C$304</f>
        <v>und</v>
      </c>
      <c r="I958" s="76">
        <v>0.05</v>
      </c>
      <c r="J958" s="86">
        <f>+MATERIALES!$D$304</f>
        <v>84900</v>
      </c>
      <c r="K958" s="87">
        <v>0.01</v>
      </c>
      <c r="L958" s="88">
        <f>I958*J958*(1+K958)</f>
        <v>4287.45</v>
      </c>
    </row>
    <row r="959" spans="3:12" hidden="1" x14ac:dyDescent="0.25">
      <c r="C959" s="113" t="s">
        <v>736</v>
      </c>
      <c r="D959" s="498" t="str">
        <f>+MATERIALES!B307</f>
        <v>tuberia pvc presion rde 21 d= 3"</v>
      </c>
      <c r="E959" s="496"/>
      <c r="F959" s="496"/>
      <c r="G959" s="497"/>
      <c r="H959" s="73" t="str">
        <f>+MATERIALES!C307</f>
        <v>ML.</v>
      </c>
      <c r="I959" s="91">
        <v>1</v>
      </c>
      <c r="J959" s="86">
        <f>+MATERIALES!D307</f>
        <v>127962</v>
      </c>
      <c r="K959" s="93">
        <v>0</v>
      </c>
      <c r="L959" s="88">
        <f>I959*J959*(1+K959)</f>
        <v>127962</v>
      </c>
    </row>
    <row r="960" spans="3:12" ht="13.5" hidden="1" thickBot="1" x14ac:dyDescent="0.3">
      <c r="C960" s="94"/>
      <c r="D960" s="485" t="s">
        <v>508</v>
      </c>
      <c r="E960" s="485"/>
      <c r="F960" s="485"/>
      <c r="G960" s="485"/>
      <c r="H960" s="485"/>
      <c r="I960" s="485"/>
      <c r="J960" s="485"/>
      <c r="K960" s="485"/>
      <c r="L960" s="84">
        <f>SUM(L956:L959)</f>
        <v>134758.29</v>
      </c>
    </row>
    <row r="961" spans="3:15" ht="13.5" hidden="1" thickBot="1" x14ac:dyDescent="0.3">
      <c r="C961" s="486"/>
      <c r="D961" s="487"/>
      <c r="E961" s="487"/>
      <c r="F961" s="487"/>
      <c r="G961" s="487"/>
      <c r="H961" s="487"/>
      <c r="I961" s="487"/>
      <c r="J961" s="487"/>
      <c r="K961" s="487"/>
      <c r="L961" s="488"/>
    </row>
    <row r="962" spans="3:15" hidden="1" x14ac:dyDescent="0.25">
      <c r="C962" s="466" t="s">
        <v>509</v>
      </c>
      <c r="D962" s="467"/>
      <c r="E962" s="467"/>
      <c r="F962" s="467"/>
      <c r="G962" s="467"/>
      <c r="H962" s="467"/>
      <c r="I962" s="467"/>
      <c r="J962" s="467"/>
      <c r="K962" s="467"/>
      <c r="L962" s="468"/>
    </row>
    <row r="963" spans="3:15" hidden="1" x14ac:dyDescent="0.25">
      <c r="C963" s="72" t="s">
        <v>66</v>
      </c>
      <c r="D963" s="492" t="s">
        <v>498</v>
      </c>
      <c r="E963" s="492"/>
      <c r="F963" s="492"/>
      <c r="G963" s="492"/>
      <c r="H963" s="73" t="s">
        <v>506</v>
      </c>
      <c r="I963" s="73" t="s">
        <v>499</v>
      </c>
      <c r="J963" s="74" t="s">
        <v>510</v>
      </c>
      <c r="K963" s="85" t="s">
        <v>511</v>
      </c>
      <c r="L963" s="70" t="s">
        <v>502</v>
      </c>
    </row>
    <row r="964" spans="3:15" hidden="1" x14ac:dyDescent="0.25">
      <c r="C964" s="90"/>
      <c r="D964" s="494"/>
      <c r="E964" s="494"/>
      <c r="F964" s="494"/>
      <c r="G964" s="494"/>
      <c r="H964" s="76"/>
      <c r="I964" s="97"/>
      <c r="J964" s="97"/>
      <c r="K964" s="95"/>
      <c r="L964" s="96"/>
    </row>
    <row r="965" spans="3:15" hidden="1" x14ac:dyDescent="0.25">
      <c r="C965" s="90"/>
      <c r="D965" s="495"/>
      <c r="E965" s="495"/>
      <c r="F965" s="495"/>
      <c r="G965" s="495"/>
      <c r="H965" s="76"/>
      <c r="I965" s="97"/>
      <c r="J965" s="97"/>
      <c r="K965" s="95"/>
      <c r="L965" s="96"/>
    </row>
    <row r="966" spans="3:15" hidden="1" x14ac:dyDescent="0.25">
      <c r="C966" s="90"/>
      <c r="D966" s="495"/>
      <c r="E966" s="495"/>
      <c r="F966" s="495"/>
      <c r="G966" s="495"/>
      <c r="H966" s="76"/>
      <c r="I966" s="97"/>
      <c r="J966" s="97"/>
      <c r="K966" s="95"/>
      <c r="L966" s="96"/>
    </row>
    <row r="967" spans="3:15" ht="13.5" hidden="1" thickBot="1" x14ac:dyDescent="0.3">
      <c r="C967" s="83"/>
      <c r="D967" s="485" t="s">
        <v>512</v>
      </c>
      <c r="E967" s="485"/>
      <c r="F967" s="485"/>
      <c r="G967" s="485"/>
      <c r="H967" s="485"/>
      <c r="I967" s="485"/>
      <c r="J967" s="485"/>
      <c r="K967" s="485"/>
      <c r="L967" s="98">
        <f>L964</f>
        <v>0</v>
      </c>
    </row>
    <row r="968" spans="3:15" ht="13.5" hidden="1" thickBot="1" x14ac:dyDescent="0.3">
      <c r="C968" s="477"/>
      <c r="D968" s="478"/>
      <c r="E968" s="478"/>
      <c r="F968" s="478"/>
      <c r="G968" s="478"/>
      <c r="H968" s="478"/>
      <c r="I968" s="478"/>
      <c r="J968" s="478"/>
      <c r="K968" s="478"/>
      <c r="L968" s="479"/>
      <c r="O968" s="119">
        <f>146800-(L974+L952+L956+L957+L958)</f>
        <v>127962.37616994118</v>
      </c>
    </row>
    <row r="969" spans="3:15" hidden="1" x14ac:dyDescent="0.25">
      <c r="C969" s="466" t="s">
        <v>513</v>
      </c>
      <c r="D969" s="467"/>
      <c r="E969" s="467"/>
      <c r="F969" s="467"/>
      <c r="G969" s="467"/>
      <c r="H969" s="467"/>
      <c r="I969" s="467"/>
      <c r="J969" s="467"/>
      <c r="K969" s="467"/>
      <c r="L969" s="468"/>
    </row>
    <row r="970" spans="3:15" hidden="1" x14ac:dyDescent="0.25">
      <c r="C970" s="72" t="s">
        <v>66</v>
      </c>
      <c r="D970" s="492" t="s">
        <v>498</v>
      </c>
      <c r="E970" s="492"/>
      <c r="F970" s="85" t="s">
        <v>499</v>
      </c>
      <c r="G970" s="85" t="s">
        <v>506</v>
      </c>
      <c r="H970" s="73" t="s">
        <v>514</v>
      </c>
      <c r="I970" s="99" t="s">
        <v>515</v>
      </c>
      <c r="J970" s="85" t="s">
        <v>516</v>
      </c>
      <c r="K970" s="99" t="s">
        <v>517</v>
      </c>
      <c r="L970" s="100" t="s">
        <v>502</v>
      </c>
    </row>
    <row r="971" spans="3:15" hidden="1" x14ac:dyDescent="0.25">
      <c r="C971" s="79" t="s">
        <v>519</v>
      </c>
      <c r="D971" s="460" t="str">
        <f>'MANO DE OBRA'!$B$3</f>
        <v>Ayudante</v>
      </c>
      <c r="E971" s="461"/>
      <c r="F971" s="97" t="str">
        <f>'MANO DE OBRA'!$C$2</f>
        <v>DIA</v>
      </c>
      <c r="G971" s="76">
        <v>2</v>
      </c>
      <c r="H971" s="101">
        <f>'MANO DE OBRA'!$D$3</f>
        <v>28981.77</v>
      </c>
      <c r="I971" s="102">
        <v>0.75649999999999995</v>
      </c>
      <c r="J971" s="103">
        <f>(H971+(H971*I971))</f>
        <v>50906.479005000001</v>
      </c>
      <c r="K971" s="76">
        <v>17</v>
      </c>
      <c r="L971" s="96">
        <f>G971*(J971/K971)</f>
        <v>5988.9975300000006</v>
      </c>
    </row>
    <row r="972" spans="3:15" hidden="1" x14ac:dyDescent="0.25">
      <c r="C972" s="112" t="s">
        <v>526</v>
      </c>
      <c r="D972" s="460" t="str">
        <f>'MANO DE OBRA'!$B$2</f>
        <v>Oficial</v>
      </c>
      <c r="E972" s="461"/>
      <c r="F972" s="97" t="str">
        <f>'MANO DE OBRA'!$C$2</f>
        <v>DIA</v>
      </c>
      <c r="G972" s="76">
        <v>1</v>
      </c>
      <c r="H972" s="101">
        <f>'MANO DE OBRA'!$D$2</f>
        <v>47982</v>
      </c>
      <c r="I972" s="102">
        <v>0.75649999999999995</v>
      </c>
      <c r="J972" s="103">
        <f>(H972+(H972*I972))</f>
        <v>84280.383000000002</v>
      </c>
      <c r="K972" s="76">
        <f>+K971</f>
        <v>17</v>
      </c>
      <c r="L972" s="96">
        <f>G972*(J972/K972)</f>
        <v>4957.6695882352942</v>
      </c>
    </row>
    <row r="973" spans="3:15" hidden="1" x14ac:dyDescent="0.25">
      <c r="C973" s="90"/>
      <c r="D973" s="493"/>
      <c r="E973" s="493"/>
      <c r="F973" s="97"/>
      <c r="G973" s="76"/>
      <c r="H973" s="101"/>
      <c r="I973" s="102"/>
      <c r="J973" s="103"/>
      <c r="K973" s="76"/>
      <c r="L973" s="96"/>
    </row>
    <row r="974" spans="3:15" ht="13.5" hidden="1" thickBot="1" x14ac:dyDescent="0.3">
      <c r="C974" s="83"/>
      <c r="D974" s="485" t="s">
        <v>520</v>
      </c>
      <c r="E974" s="485"/>
      <c r="F974" s="485"/>
      <c r="G974" s="485"/>
      <c r="H974" s="485"/>
      <c r="I974" s="485"/>
      <c r="J974" s="485"/>
      <c r="K974" s="485"/>
      <c r="L974" s="98">
        <f>L972+L971</f>
        <v>10946.667118235295</v>
      </c>
    </row>
    <row r="975" spans="3:15" ht="13.5" hidden="1" thickBot="1" x14ac:dyDescent="0.3">
      <c r="C975" s="486"/>
      <c r="D975" s="487"/>
      <c r="E975" s="487"/>
      <c r="F975" s="487"/>
      <c r="G975" s="487"/>
      <c r="H975" s="487"/>
      <c r="I975" s="487"/>
      <c r="J975" s="487"/>
      <c r="K975" s="487"/>
      <c r="L975" s="488"/>
    </row>
    <row r="976" spans="3:15" ht="13.5" hidden="1" thickBot="1" x14ac:dyDescent="0.3">
      <c r="C976" s="489" t="s">
        <v>521</v>
      </c>
      <c r="D976" s="490"/>
      <c r="E976" s="490"/>
      <c r="F976" s="490"/>
      <c r="G976" s="490"/>
      <c r="H976" s="490"/>
      <c r="I976" s="490"/>
      <c r="J976" s="491"/>
      <c r="K976" s="145">
        <f>ROUND(L974+L967+L960+L952,0)</f>
        <v>146800</v>
      </c>
      <c r="L976" s="146"/>
    </row>
    <row r="977" spans="3:12" hidden="1" x14ac:dyDescent="0.25"/>
    <row r="978" spans="3:12" ht="13.5" hidden="1" thickBot="1" x14ac:dyDescent="0.3"/>
    <row r="979" spans="3:12" hidden="1" x14ac:dyDescent="0.25">
      <c r="C979" s="466" t="s">
        <v>495</v>
      </c>
      <c r="D979" s="467"/>
      <c r="E979" s="467"/>
      <c r="F979" s="467"/>
      <c r="G979" s="467"/>
      <c r="H979" s="467"/>
      <c r="I979" s="467"/>
      <c r="J979" s="467"/>
      <c r="K979" s="467"/>
      <c r="L979" s="468"/>
    </row>
    <row r="980" spans="3:12" ht="12.75" hidden="1" customHeight="1" x14ac:dyDescent="0.25">
      <c r="C980" s="469" t="str">
        <f>+PPTO!$A$2</f>
        <v>REPOSICION E INSTALACION VALVULAS DE SECTORIZACION EN DIFERENTES SECTORES DEL MUNICIPIO DE PIEDECUESTA - SANTANDER.</v>
      </c>
      <c r="D980" s="470"/>
      <c r="E980" s="470"/>
      <c r="F980" s="470"/>
      <c r="G980" s="470"/>
      <c r="H980" s="470"/>
      <c r="I980" s="470"/>
      <c r="J980" s="470"/>
      <c r="K980" s="470"/>
      <c r="L980" s="471"/>
    </row>
    <row r="981" spans="3:12" hidden="1" x14ac:dyDescent="0.25">
      <c r="C981" s="472" t="s">
        <v>496</v>
      </c>
      <c r="D981" s="141">
        <f>+PPTO!$A$20</f>
        <v>4</v>
      </c>
      <c r="E981" s="474" t="str">
        <f>+PPTO!$B$20</f>
        <v>SUMINISTRO E INSTALACION DE TUBERIAS Y ACCESORIOS.</v>
      </c>
      <c r="F981" s="475"/>
      <c r="G981" s="475"/>
      <c r="H981" s="475"/>
      <c r="I981" s="475"/>
      <c r="J981" s="475"/>
      <c r="K981" s="475"/>
      <c r="L981" s="70" t="s">
        <v>52</v>
      </c>
    </row>
    <row r="982" spans="3:12" ht="13.5" hidden="1" thickBot="1" x14ac:dyDescent="0.3">
      <c r="C982" s="473"/>
      <c r="D982" s="120">
        <f>+PPTO!A38</f>
        <v>4.18</v>
      </c>
      <c r="E982" s="476" t="str">
        <f>+PPTO!B38</f>
        <v>Suministro e instalacion tuberia pvc presion rde 21 d= 6"</v>
      </c>
      <c r="F982" s="476"/>
      <c r="G982" s="476"/>
      <c r="H982" s="476"/>
      <c r="I982" s="476"/>
      <c r="J982" s="476"/>
      <c r="K982" s="476"/>
      <c r="L982" s="71" t="str">
        <f>+PPTO!C38</f>
        <v>ML</v>
      </c>
    </row>
    <row r="983" spans="3:12" ht="13.5" hidden="1" thickBot="1" x14ac:dyDescent="0.3">
      <c r="C983" s="477"/>
      <c r="D983" s="478"/>
      <c r="E983" s="478"/>
      <c r="F983" s="478"/>
      <c r="G983" s="478"/>
      <c r="H983" s="478"/>
      <c r="I983" s="478"/>
      <c r="J983" s="478"/>
      <c r="K983" s="478"/>
      <c r="L983" s="479"/>
    </row>
    <row r="984" spans="3:12" hidden="1" x14ac:dyDescent="0.25">
      <c r="C984" s="466" t="s">
        <v>497</v>
      </c>
      <c r="D984" s="467"/>
      <c r="E984" s="467"/>
      <c r="F984" s="467"/>
      <c r="G984" s="467"/>
      <c r="H984" s="467"/>
      <c r="I984" s="467"/>
      <c r="J984" s="467"/>
      <c r="K984" s="467"/>
      <c r="L984" s="468"/>
    </row>
    <row r="985" spans="3:12" hidden="1" x14ac:dyDescent="0.25">
      <c r="C985" s="72" t="s">
        <v>66</v>
      </c>
      <c r="D985" s="492" t="s">
        <v>498</v>
      </c>
      <c r="E985" s="492"/>
      <c r="F985" s="492"/>
      <c r="G985" s="492"/>
      <c r="H985" s="492"/>
      <c r="I985" s="73" t="s">
        <v>499</v>
      </c>
      <c r="J985" s="74" t="s">
        <v>500</v>
      </c>
      <c r="K985" s="73" t="s">
        <v>501</v>
      </c>
      <c r="L985" s="70" t="s">
        <v>502</v>
      </c>
    </row>
    <row r="986" spans="3:12" hidden="1" x14ac:dyDescent="0.25">
      <c r="C986" s="75"/>
      <c r="D986" s="460"/>
      <c r="E986" s="499"/>
      <c r="F986" s="499"/>
      <c r="G986" s="499"/>
      <c r="H986" s="461"/>
      <c r="I986" s="76"/>
      <c r="J986" s="76"/>
      <c r="K986" s="77"/>
      <c r="L986" s="78"/>
    </row>
    <row r="987" spans="3:12" hidden="1" x14ac:dyDescent="0.25">
      <c r="C987" s="75"/>
      <c r="D987" s="493"/>
      <c r="E987" s="493"/>
      <c r="F987" s="493"/>
      <c r="G987" s="493"/>
      <c r="H987" s="493"/>
      <c r="I987" s="76"/>
      <c r="J987" s="80"/>
      <c r="K987" s="81"/>
      <c r="L987" s="78"/>
    </row>
    <row r="988" spans="3:12" hidden="1" x14ac:dyDescent="0.25">
      <c r="C988" s="79"/>
      <c r="D988" s="493" t="s">
        <v>503</v>
      </c>
      <c r="E988" s="493"/>
      <c r="F988" s="493"/>
      <c r="G988" s="493"/>
      <c r="H988" s="493"/>
      <c r="I988" s="76" t="s">
        <v>61</v>
      </c>
      <c r="J988" s="80">
        <v>1</v>
      </c>
      <c r="K988" s="81">
        <f>L1011*0.1</f>
        <v>1431.4872385384617</v>
      </c>
      <c r="L988" s="82">
        <f>K988/J988</f>
        <v>1431.4872385384617</v>
      </c>
    </row>
    <row r="989" spans="3:12" ht="13.5" hidden="1" thickBot="1" x14ac:dyDescent="0.3">
      <c r="C989" s="83"/>
      <c r="D989" s="485" t="s">
        <v>504</v>
      </c>
      <c r="E989" s="485"/>
      <c r="F989" s="485"/>
      <c r="G989" s="485"/>
      <c r="H989" s="485"/>
      <c r="I989" s="485"/>
      <c r="J989" s="485"/>
      <c r="K989" s="485"/>
      <c r="L989" s="84">
        <f>SUM(L986:L988)</f>
        <v>1431.4872385384617</v>
      </c>
    </row>
    <row r="990" spans="3:12" ht="13.5" hidden="1" thickBot="1" x14ac:dyDescent="0.3">
      <c r="C990" s="477"/>
      <c r="D990" s="478"/>
      <c r="E990" s="478"/>
      <c r="F990" s="478"/>
      <c r="G990" s="478"/>
      <c r="H990" s="478"/>
      <c r="I990" s="478"/>
      <c r="J990" s="478"/>
      <c r="K990" s="478"/>
      <c r="L990" s="479"/>
    </row>
    <row r="991" spans="3:12" hidden="1" x14ac:dyDescent="0.25">
      <c r="C991" s="466" t="s">
        <v>505</v>
      </c>
      <c r="D991" s="467"/>
      <c r="E991" s="467"/>
      <c r="F991" s="467"/>
      <c r="G991" s="467"/>
      <c r="H991" s="467"/>
      <c r="I991" s="467"/>
      <c r="J991" s="467"/>
      <c r="K991" s="467"/>
      <c r="L991" s="468"/>
    </row>
    <row r="992" spans="3:12" ht="25.5" hidden="1" x14ac:dyDescent="0.25">
      <c r="C992" s="72" t="s">
        <v>66</v>
      </c>
      <c r="D992" s="492" t="s">
        <v>498</v>
      </c>
      <c r="E992" s="492"/>
      <c r="F992" s="492"/>
      <c r="G992" s="492"/>
      <c r="H992" s="73" t="s">
        <v>499</v>
      </c>
      <c r="I992" s="74" t="s">
        <v>506</v>
      </c>
      <c r="J992" s="73" t="s">
        <v>501</v>
      </c>
      <c r="K992" s="85" t="s">
        <v>507</v>
      </c>
      <c r="L992" s="70" t="s">
        <v>502</v>
      </c>
    </row>
    <row r="993" spans="3:15" hidden="1" x14ac:dyDescent="0.25">
      <c r="C993" s="113" t="s">
        <v>731</v>
      </c>
      <c r="D993" s="498" t="str">
        <f>+MATERIALES!$B$302</f>
        <v>Lubricante tarro</v>
      </c>
      <c r="E993" s="496"/>
      <c r="F993" s="496"/>
      <c r="G993" s="497"/>
      <c r="H993" s="73" t="str">
        <f>+MATERIALES!$C$302</f>
        <v>Kg</v>
      </c>
      <c r="I993" s="76">
        <v>0.01</v>
      </c>
      <c r="J993" s="86">
        <f>+MATERIALES!$D$302</f>
        <v>43900</v>
      </c>
      <c r="K993" s="87">
        <v>0.01</v>
      </c>
      <c r="L993" s="88">
        <f>I993*J993*(1+K993)</f>
        <v>443.39</v>
      </c>
    </row>
    <row r="994" spans="3:15" hidden="1" x14ac:dyDescent="0.25">
      <c r="C994" s="90" t="s">
        <v>732</v>
      </c>
      <c r="D994" s="498" t="str">
        <f>+MATERIALES!$B$303</f>
        <v>Limpiador PVC 760 grms</v>
      </c>
      <c r="E994" s="496"/>
      <c r="F994" s="496"/>
      <c r="G994" s="497"/>
      <c r="H994" s="73" t="str">
        <f>+MATERIALES!$C$303</f>
        <v>und</v>
      </c>
      <c r="I994" s="76">
        <v>0.05</v>
      </c>
      <c r="J994" s="86">
        <f>+MATERIALES!$D$303</f>
        <v>40900</v>
      </c>
      <c r="K994" s="87">
        <v>0.01</v>
      </c>
      <c r="L994" s="88">
        <f>I994*J994*(1+K994)</f>
        <v>2065.4499999999998</v>
      </c>
    </row>
    <row r="995" spans="3:15" hidden="1" x14ac:dyDescent="0.25">
      <c r="C995" s="90" t="s">
        <v>733</v>
      </c>
      <c r="D995" s="498" t="str">
        <f>+MATERIALES!$B$304</f>
        <v>Soldadura PVC 1/4 galon</v>
      </c>
      <c r="E995" s="496"/>
      <c r="F995" s="496"/>
      <c r="G995" s="497"/>
      <c r="H995" s="73" t="str">
        <f>+MATERIALES!$C$304</f>
        <v>und</v>
      </c>
      <c r="I995" s="76">
        <v>0.05</v>
      </c>
      <c r="J995" s="86">
        <f>+MATERIALES!$D$304</f>
        <v>84900</v>
      </c>
      <c r="K995" s="87">
        <v>0.01</v>
      </c>
      <c r="L995" s="88">
        <f>I995*J995*(1+K995)</f>
        <v>4287.45</v>
      </c>
    </row>
    <row r="996" spans="3:15" hidden="1" x14ac:dyDescent="0.25">
      <c r="C996" s="113" t="s">
        <v>737</v>
      </c>
      <c r="D996" s="498" t="str">
        <f>+MATERIALES!B308</f>
        <v>tuberia pvc presion rde 21 d= 6"</v>
      </c>
      <c r="E996" s="496"/>
      <c r="F996" s="496"/>
      <c r="G996" s="497"/>
      <c r="H996" s="73" t="str">
        <f>+MATERIALES!C308</f>
        <v>ML.</v>
      </c>
      <c r="I996" s="91">
        <v>1</v>
      </c>
      <c r="J996" s="86">
        <f>+MATERIALES!D308</f>
        <v>91357</v>
      </c>
      <c r="K996" s="93">
        <v>0</v>
      </c>
      <c r="L996" s="88">
        <f>I996*J996*(1+K996)</f>
        <v>91357</v>
      </c>
    </row>
    <row r="997" spans="3:15" ht="13.5" hidden="1" thickBot="1" x14ac:dyDescent="0.3">
      <c r="C997" s="94"/>
      <c r="D997" s="485" t="s">
        <v>508</v>
      </c>
      <c r="E997" s="485"/>
      <c r="F997" s="485"/>
      <c r="G997" s="485"/>
      <c r="H997" s="485"/>
      <c r="I997" s="485"/>
      <c r="J997" s="485"/>
      <c r="K997" s="485"/>
      <c r="L997" s="84">
        <f>SUM(L993:L996)</f>
        <v>98153.29</v>
      </c>
    </row>
    <row r="998" spans="3:15" ht="13.5" hidden="1" thickBot="1" x14ac:dyDescent="0.3">
      <c r="C998" s="486"/>
      <c r="D998" s="487"/>
      <c r="E998" s="487"/>
      <c r="F998" s="487"/>
      <c r="G998" s="487"/>
      <c r="H998" s="487"/>
      <c r="I998" s="487"/>
      <c r="J998" s="487"/>
      <c r="K998" s="487"/>
      <c r="L998" s="488"/>
    </row>
    <row r="999" spans="3:15" hidden="1" x14ac:dyDescent="0.25">
      <c r="C999" s="466" t="s">
        <v>509</v>
      </c>
      <c r="D999" s="467"/>
      <c r="E999" s="467"/>
      <c r="F999" s="467"/>
      <c r="G999" s="467"/>
      <c r="H999" s="467"/>
      <c r="I999" s="467"/>
      <c r="J999" s="467"/>
      <c r="K999" s="467"/>
      <c r="L999" s="468"/>
    </row>
    <row r="1000" spans="3:15" hidden="1" x14ac:dyDescent="0.25">
      <c r="C1000" s="72" t="s">
        <v>66</v>
      </c>
      <c r="D1000" s="492" t="s">
        <v>498</v>
      </c>
      <c r="E1000" s="492"/>
      <c r="F1000" s="492"/>
      <c r="G1000" s="492"/>
      <c r="H1000" s="73" t="s">
        <v>506</v>
      </c>
      <c r="I1000" s="73" t="s">
        <v>499</v>
      </c>
      <c r="J1000" s="74" t="s">
        <v>510</v>
      </c>
      <c r="K1000" s="85" t="s">
        <v>511</v>
      </c>
      <c r="L1000" s="70" t="s">
        <v>502</v>
      </c>
    </row>
    <row r="1001" spans="3:15" hidden="1" x14ac:dyDescent="0.25">
      <c r="C1001" s="90"/>
      <c r="D1001" s="494"/>
      <c r="E1001" s="494"/>
      <c r="F1001" s="494"/>
      <c r="G1001" s="494"/>
      <c r="H1001" s="76"/>
      <c r="I1001" s="97"/>
      <c r="J1001" s="97"/>
      <c r="K1001" s="95"/>
      <c r="L1001" s="96"/>
    </row>
    <row r="1002" spans="3:15" hidden="1" x14ac:dyDescent="0.25">
      <c r="C1002" s="90"/>
      <c r="D1002" s="495"/>
      <c r="E1002" s="495"/>
      <c r="F1002" s="495"/>
      <c r="G1002" s="495"/>
      <c r="H1002" s="76"/>
      <c r="I1002" s="97"/>
      <c r="J1002" s="97"/>
      <c r="K1002" s="95"/>
      <c r="L1002" s="96"/>
    </row>
    <row r="1003" spans="3:15" hidden="1" x14ac:dyDescent="0.25">
      <c r="C1003" s="90"/>
      <c r="D1003" s="495"/>
      <c r="E1003" s="495"/>
      <c r="F1003" s="495"/>
      <c r="G1003" s="495"/>
      <c r="H1003" s="76"/>
      <c r="I1003" s="97"/>
      <c r="J1003" s="97"/>
      <c r="K1003" s="95"/>
      <c r="L1003" s="96"/>
    </row>
    <row r="1004" spans="3:15" ht="13.5" hidden="1" thickBot="1" x14ac:dyDescent="0.3">
      <c r="C1004" s="83"/>
      <c r="D1004" s="485" t="s">
        <v>512</v>
      </c>
      <c r="E1004" s="485"/>
      <c r="F1004" s="485"/>
      <c r="G1004" s="485"/>
      <c r="H1004" s="485"/>
      <c r="I1004" s="485"/>
      <c r="J1004" s="485"/>
      <c r="K1004" s="485"/>
      <c r="L1004" s="98">
        <f>L1001</f>
        <v>0</v>
      </c>
    </row>
    <row r="1005" spans="3:15" ht="13.5" hidden="1" thickBot="1" x14ac:dyDescent="0.3">
      <c r="C1005" s="477"/>
      <c r="D1005" s="478"/>
      <c r="E1005" s="478"/>
      <c r="F1005" s="478"/>
      <c r="G1005" s="478"/>
      <c r="H1005" s="478"/>
      <c r="I1005" s="478"/>
      <c r="J1005" s="478"/>
      <c r="K1005" s="478"/>
      <c r="L1005" s="479"/>
      <c r="O1005" s="119">
        <f>113900-(L1011+L989+L993+L994+L995)</f>
        <v>91357.350376076924</v>
      </c>
    </row>
    <row r="1006" spans="3:15" hidden="1" x14ac:dyDescent="0.25">
      <c r="C1006" s="466" t="s">
        <v>513</v>
      </c>
      <c r="D1006" s="467"/>
      <c r="E1006" s="467"/>
      <c r="F1006" s="467"/>
      <c r="G1006" s="467"/>
      <c r="H1006" s="467"/>
      <c r="I1006" s="467"/>
      <c r="J1006" s="467"/>
      <c r="K1006" s="467"/>
      <c r="L1006" s="468"/>
    </row>
    <row r="1007" spans="3:15" hidden="1" x14ac:dyDescent="0.25">
      <c r="C1007" s="72" t="s">
        <v>66</v>
      </c>
      <c r="D1007" s="492" t="s">
        <v>498</v>
      </c>
      <c r="E1007" s="492"/>
      <c r="F1007" s="85" t="s">
        <v>499</v>
      </c>
      <c r="G1007" s="85" t="s">
        <v>506</v>
      </c>
      <c r="H1007" s="73" t="s">
        <v>514</v>
      </c>
      <c r="I1007" s="99" t="s">
        <v>515</v>
      </c>
      <c r="J1007" s="85" t="s">
        <v>516</v>
      </c>
      <c r="K1007" s="99" t="s">
        <v>517</v>
      </c>
      <c r="L1007" s="100" t="s">
        <v>502</v>
      </c>
    </row>
    <row r="1008" spans="3:15" hidden="1" x14ac:dyDescent="0.25">
      <c r="C1008" s="79" t="s">
        <v>519</v>
      </c>
      <c r="D1008" s="460" t="str">
        <f>'MANO DE OBRA'!$B$3</f>
        <v>Ayudante</v>
      </c>
      <c r="E1008" s="461"/>
      <c r="F1008" s="97" t="str">
        <f>'MANO DE OBRA'!$C$2</f>
        <v>DIA</v>
      </c>
      <c r="G1008" s="76">
        <v>2</v>
      </c>
      <c r="H1008" s="101">
        <f>'MANO DE OBRA'!$D$3</f>
        <v>28981.77</v>
      </c>
      <c r="I1008" s="102">
        <v>0.75649999999999995</v>
      </c>
      <c r="J1008" s="103">
        <f>(H1008+(H1008*I1008))</f>
        <v>50906.479005000001</v>
      </c>
      <c r="K1008" s="76">
        <v>13</v>
      </c>
      <c r="L1008" s="96">
        <f>G1008*(J1008/K1008)</f>
        <v>7831.7660007692311</v>
      </c>
    </row>
    <row r="1009" spans="3:12" hidden="1" x14ac:dyDescent="0.25">
      <c r="C1009" s="112" t="s">
        <v>526</v>
      </c>
      <c r="D1009" s="460" t="str">
        <f>'MANO DE OBRA'!$B$2</f>
        <v>Oficial</v>
      </c>
      <c r="E1009" s="461"/>
      <c r="F1009" s="97" t="str">
        <f>'MANO DE OBRA'!$C$2</f>
        <v>DIA</v>
      </c>
      <c r="G1009" s="76">
        <v>1</v>
      </c>
      <c r="H1009" s="101">
        <f>'MANO DE OBRA'!$D$2</f>
        <v>47982</v>
      </c>
      <c r="I1009" s="102">
        <v>0.75649999999999995</v>
      </c>
      <c r="J1009" s="103">
        <f>(H1009+(H1009*I1009))</f>
        <v>84280.383000000002</v>
      </c>
      <c r="K1009" s="76">
        <f>+K1008</f>
        <v>13</v>
      </c>
      <c r="L1009" s="96">
        <f>G1009*(J1009/K1009)</f>
        <v>6483.1063846153847</v>
      </c>
    </row>
    <row r="1010" spans="3:12" hidden="1" x14ac:dyDescent="0.25">
      <c r="C1010" s="90"/>
      <c r="D1010" s="493"/>
      <c r="E1010" s="493"/>
      <c r="F1010" s="97"/>
      <c r="G1010" s="76"/>
      <c r="H1010" s="101"/>
      <c r="I1010" s="102"/>
      <c r="J1010" s="103"/>
      <c r="K1010" s="76"/>
      <c r="L1010" s="96"/>
    </row>
    <row r="1011" spans="3:12" ht="13.5" hidden="1" thickBot="1" x14ac:dyDescent="0.3">
      <c r="C1011" s="83"/>
      <c r="D1011" s="485" t="s">
        <v>520</v>
      </c>
      <c r="E1011" s="485"/>
      <c r="F1011" s="485"/>
      <c r="G1011" s="485"/>
      <c r="H1011" s="485"/>
      <c r="I1011" s="485"/>
      <c r="J1011" s="485"/>
      <c r="K1011" s="485"/>
      <c r="L1011" s="98">
        <f>L1009+L1008</f>
        <v>14314.872385384617</v>
      </c>
    </row>
    <row r="1012" spans="3:12" ht="13.5" hidden="1" thickBot="1" x14ac:dyDescent="0.3">
      <c r="C1012" s="486"/>
      <c r="D1012" s="487"/>
      <c r="E1012" s="487"/>
      <c r="F1012" s="487"/>
      <c r="G1012" s="487"/>
      <c r="H1012" s="487"/>
      <c r="I1012" s="487"/>
      <c r="J1012" s="487"/>
      <c r="K1012" s="487"/>
      <c r="L1012" s="488"/>
    </row>
    <row r="1013" spans="3:12" ht="13.5" hidden="1" thickBot="1" x14ac:dyDescent="0.3">
      <c r="C1013" s="489" t="s">
        <v>521</v>
      </c>
      <c r="D1013" s="490"/>
      <c r="E1013" s="490"/>
      <c r="F1013" s="490"/>
      <c r="G1013" s="490"/>
      <c r="H1013" s="490"/>
      <c r="I1013" s="490"/>
      <c r="J1013" s="491"/>
      <c r="K1013" s="145">
        <f>ROUND(L1011+L1004+L997+L989,0)</f>
        <v>113900</v>
      </c>
      <c r="L1013" s="146"/>
    </row>
    <row r="1014" spans="3:12" hidden="1" x14ac:dyDescent="0.25"/>
    <row r="1015" spans="3:12" ht="13.5" hidden="1" thickBot="1" x14ac:dyDescent="0.3"/>
    <row r="1016" spans="3:12" hidden="1" x14ac:dyDescent="0.25">
      <c r="C1016" s="466" t="s">
        <v>495</v>
      </c>
      <c r="D1016" s="467"/>
      <c r="E1016" s="467"/>
      <c r="F1016" s="467"/>
      <c r="G1016" s="467"/>
      <c r="H1016" s="467"/>
      <c r="I1016" s="467"/>
      <c r="J1016" s="467"/>
      <c r="K1016" s="467"/>
      <c r="L1016" s="468"/>
    </row>
    <row r="1017" spans="3:12" ht="12.75" hidden="1" customHeight="1" x14ac:dyDescent="0.25">
      <c r="C1017" s="469" t="str">
        <f>+PPTO!$A$2</f>
        <v>REPOSICION E INSTALACION VALVULAS DE SECTORIZACION EN DIFERENTES SECTORES DEL MUNICIPIO DE PIEDECUESTA - SANTANDER.</v>
      </c>
      <c r="D1017" s="470"/>
      <c r="E1017" s="470"/>
      <c r="F1017" s="470"/>
      <c r="G1017" s="470"/>
      <c r="H1017" s="470"/>
      <c r="I1017" s="470"/>
      <c r="J1017" s="470"/>
      <c r="K1017" s="470"/>
      <c r="L1017" s="471"/>
    </row>
    <row r="1018" spans="3:12" hidden="1" x14ac:dyDescent="0.25">
      <c r="C1018" s="472" t="s">
        <v>496</v>
      </c>
      <c r="D1018" s="141">
        <f>+PPTO!$A$20</f>
        <v>4</v>
      </c>
      <c r="E1018" s="474" t="str">
        <f>+PPTO!$B$20</f>
        <v>SUMINISTRO E INSTALACION DE TUBERIAS Y ACCESORIOS.</v>
      </c>
      <c r="F1018" s="475"/>
      <c r="G1018" s="475"/>
      <c r="H1018" s="475"/>
      <c r="I1018" s="475"/>
      <c r="J1018" s="475"/>
      <c r="K1018" s="475"/>
      <c r="L1018" s="70" t="s">
        <v>52</v>
      </c>
    </row>
    <row r="1019" spans="3:12" ht="13.5" hidden="1" thickBot="1" x14ac:dyDescent="0.3">
      <c r="C1019" s="473"/>
      <c r="D1019" s="120">
        <f>+PPTO!A39</f>
        <v>4.1900000000000004</v>
      </c>
      <c r="E1019" s="476" t="str">
        <f>+PPTO!B39</f>
        <v>Suministro e instalación tubería pvc presión rde 21 d= 8"</v>
      </c>
      <c r="F1019" s="476"/>
      <c r="G1019" s="476"/>
      <c r="H1019" s="476"/>
      <c r="I1019" s="476"/>
      <c r="J1019" s="476"/>
      <c r="K1019" s="476"/>
      <c r="L1019" s="71" t="str">
        <f>+PPTO!C39</f>
        <v>ML</v>
      </c>
    </row>
    <row r="1020" spans="3:12" ht="13.5" hidden="1" thickBot="1" x14ac:dyDescent="0.3">
      <c r="C1020" s="477"/>
      <c r="D1020" s="478"/>
      <c r="E1020" s="478"/>
      <c r="F1020" s="478"/>
      <c r="G1020" s="478"/>
      <c r="H1020" s="478"/>
      <c r="I1020" s="478"/>
      <c r="J1020" s="478"/>
      <c r="K1020" s="478"/>
      <c r="L1020" s="479"/>
    </row>
    <row r="1021" spans="3:12" hidden="1" x14ac:dyDescent="0.25">
      <c r="C1021" s="466" t="s">
        <v>497</v>
      </c>
      <c r="D1021" s="467"/>
      <c r="E1021" s="467"/>
      <c r="F1021" s="467"/>
      <c r="G1021" s="467"/>
      <c r="H1021" s="467"/>
      <c r="I1021" s="467"/>
      <c r="J1021" s="467"/>
      <c r="K1021" s="467"/>
      <c r="L1021" s="468"/>
    </row>
    <row r="1022" spans="3:12" hidden="1" x14ac:dyDescent="0.25">
      <c r="C1022" s="72" t="s">
        <v>66</v>
      </c>
      <c r="D1022" s="492" t="s">
        <v>498</v>
      </c>
      <c r="E1022" s="492"/>
      <c r="F1022" s="492"/>
      <c r="G1022" s="492"/>
      <c r="H1022" s="492"/>
      <c r="I1022" s="73" t="s">
        <v>499</v>
      </c>
      <c r="J1022" s="74" t="s">
        <v>500</v>
      </c>
      <c r="K1022" s="73" t="s">
        <v>501</v>
      </c>
      <c r="L1022" s="70" t="s">
        <v>502</v>
      </c>
    </row>
    <row r="1023" spans="3:12" hidden="1" x14ac:dyDescent="0.25">
      <c r="C1023" s="75"/>
      <c r="D1023" s="460"/>
      <c r="E1023" s="499"/>
      <c r="F1023" s="499"/>
      <c r="G1023" s="499"/>
      <c r="H1023" s="461"/>
      <c r="I1023" s="76"/>
      <c r="J1023" s="76"/>
      <c r="K1023" s="77"/>
      <c r="L1023" s="78"/>
    </row>
    <row r="1024" spans="3:12" hidden="1" x14ac:dyDescent="0.25">
      <c r="C1024" s="147" t="s">
        <v>12</v>
      </c>
      <c r="D1024" s="493" t="str">
        <f>+EQUIPO!$B$7</f>
        <v>Diferencial</v>
      </c>
      <c r="E1024" s="493"/>
      <c r="F1024" s="493"/>
      <c r="G1024" s="493"/>
      <c r="H1024" s="493"/>
      <c r="I1024" s="76" t="str">
        <f>+EQUIPO!$C$7</f>
        <v>día</v>
      </c>
      <c r="J1024" s="80">
        <v>10</v>
      </c>
      <c r="K1024" s="81">
        <f>+EQUIPO!$D$7</f>
        <v>50000</v>
      </c>
      <c r="L1024" s="78">
        <f>+K1024/J1024</f>
        <v>5000</v>
      </c>
    </row>
    <row r="1025" spans="3:12" hidden="1" x14ac:dyDescent="0.25">
      <c r="C1025" s="79"/>
      <c r="D1025" s="493" t="s">
        <v>503</v>
      </c>
      <c r="E1025" s="493"/>
      <c r="F1025" s="493"/>
      <c r="G1025" s="493"/>
      <c r="H1025" s="493"/>
      <c r="I1025" s="76" t="s">
        <v>61</v>
      </c>
      <c r="J1025" s="80">
        <v>1</v>
      </c>
      <c r="K1025" s="81">
        <f>L1048*0.1</f>
        <v>1691.7576455454546</v>
      </c>
      <c r="L1025" s="82">
        <f>K1025/J1025</f>
        <v>1691.7576455454546</v>
      </c>
    </row>
    <row r="1026" spans="3:12" ht="13.5" hidden="1" thickBot="1" x14ac:dyDescent="0.3">
      <c r="C1026" s="83"/>
      <c r="D1026" s="485" t="s">
        <v>504</v>
      </c>
      <c r="E1026" s="485"/>
      <c r="F1026" s="485"/>
      <c r="G1026" s="485"/>
      <c r="H1026" s="485"/>
      <c r="I1026" s="485"/>
      <c r="J1026" s="485"/>
      <c r="K1026" s="485"/>
      <c r="L1026" s="84">
        <f>SUM(L1023:L1025)</f>
        <v>6691.7576455454546</v>
      </c>
    </row>
    <row r="1027" spans="3:12" ht="13.5" hidden="1" thickBot="1" x14ac:dyDescent="0.3">
      <c r="C1027" s="477"/>
      <c r="D1027" s="478"/>
      <c r="E1027" s="478"/>
      <c r="F1027" s="478"/>
      <c r="G1027" s="478"/>
      <c r="H1027" s="478"/>
      <c r="I1027" s="478"/>
      <c r="J1027" s="478"/>
      <c r="K1027" s="478"/>
      <c r="L1027" s="479"/>
    </row>
    <row r="1028" spans="3:12" hidden="1" x14ac:dyDescent="0.25">
      <c r="C1028" s="466" t="s">
        <v>505</v>
      </c>
      <c r="D1028" s="467"/>
      <c r="E1028" s="467"/>
      <c r="F1028" s="467"/>
      <c r="G1028" s="467"/>
      <c r="H1028" s="467"/>
      <c r="I1028" s="467"/>
      <c r="J1028" s="467"/>
      <c r="K1028" s="467"/>
      <c r="L1028" s="468"/>
    </row>
    <row r="1029" spans="3:12" ht="25.5" hidden="1" x14ac:dyDescent="0.25">
      <c r="C1029" s="72" t="s">
        <v>66</v>
      </c>
      <c r="D1029" s="492" t="s">
        <v>498</v>
      </c>
      <c r="E1029" s="492"/>
      <c r="F1029" s="492"/>
      <c r="G1029" s="492"/>
      <c r="H1029" s="73" t="s">
        <v>499</v>
      </c>
      <c r="I1029" s="74" t="s">
        <v>506</v>
      </c>
      <c r="J1029" s="73" t="s">
        <v>501</v>
      </c>
      <c r="K1029" s="85" t="s">
        <v>507</v>
      </c>
      <c r="L1029" s="70" t="s">
        <v>502</v>
      </c>
    </row>
    <row r="1030" spans="3:12" hidden="1" x14ac:dyDescent="0.25">
      <c r="C1030" s="113" t="s">
        <v>731</v>
      </c>
      <c r="D1030" s="498" t="str">
        <f>+MATERIALES!$B$302</f>
        <v>Lubricante tarro</v>
      </c>
      <c r="E1030" s="496"/>
      <c r="F1030" s="496"/>
      <c r="G1030" s="497"/>
      <c r="H1030" s="73" t="str">
        <f>+MATERIALES!$C$302</f>
        <v>Kg</v>
      </c>
      <c r="I1030" s="76">
        <v>0.01</v>
      </c>
      <c r="J1030" s="86">
        <f>+MATERIALES!$D$302</f>
        <v>43900</v>
      </c>
      <c r="K1030" s="87">
        <v>0.01</v>
      </c>
      <c r="L1030" s="88">
        <f>I1030*J1030*(1+K1030)</f>
        <v>443.39</v>
      </c>
    </row>
    <row r="1031" spans="3:12" hidden="1" x14ac:dyDescent="0.25">
      <c r="C1031" s="90" t="s">
        <v>732</v>
      </c>
      <c r="D1031" s="498" t="str">
        <f>+MATERIALES!$B$303</f>
        <v>Limpiador PVC 760 grms</v>
      </c>
      <c r="E1031" s="496"/>
      <c r="F1031" s="496"/>
      <c r="G1031" s="497"/>
      <c r="H1031" s="73" t="str">
        <f>+MATERIALES!$C$303</f>
        <v>und</v>
      </c>
      <c r="I1031" s="76">
        <v>0.05</v>
      </c>
      <c r="J1031" s="86">
        <f>+MATERIALES!$D$303</f>
        <v>40900</v>
      </c>
      <c r="K1031" s="87">
        <v>0.01</v>
      </c>
      <c r="L1031" s="88">
        <f>I1031*J1031*(1+K1031)</f>
        <v>2065.4499999999998</v>
      </c>
    </row>
    <row r="1032" spans="3:12" hidden="1" x14ac:dyDescent="0.25">
      <c r="C1032" s="90" t="s">
        <v>733</v>
      </c>
      <c r="D1032" s="498" t="str">
        <f>+MATERIALES!$B$304</f>
        <v>Soldadura PVC 1/4 galon</v>
      </c>
      <c r="E1032" s="496"/>
      <c r="F1032" s="496"/>
      <c r="G1032" s="497"/>
      <c r="H1032" s="73" t="str">
        <f>+MATERIALES!$C$304</f>
        <v>und</v>
      </c>
      <c r="I1032" s="76">
        <v>0.05</v>
      </c>
      <c r="J1032" s="86">
        <f>+MATERIALES!$D$304</f>
        <v>84900</v>
      </c>
      <c r="K1032" s="87">
        <v>0.01</v>
      </c>
      <c r="L1032" s="88">
        <f>I1032*J1032*(1+K1032)</f>
        <v>4287.45</v>
      </c>
    </row>
    <row r="1033" spans="3:12" hidden="1" x14ac:dyDescent="0.25">
      <c r="C1033" s="113" t="s">
        <v>747</v>
      </c>
      <c r="D1033" s="498" t="str">
        <f>+MATERIALES!B309</f>
        <v>tubería pvc presión rde 21 d= 8"</v>
      </c>
      <c r="E1033" s="496"/>
      <c r="F1033" s="496"/>
      <c r="G1033" s="497"/>
      <c r="H1033" s="73" t="str">
        <f>+MATERIALES!C309</f>
        <v>ML.</v>
      </c>
      <c r="I1033" s="91">
        <v>1</v>
      </c>
      <c r="J1033" s="86">
        <f>+MATERIALES!D309</f>
        <v>152894</v>
      </c>
      <c r="K1033" s="93">
        <v>0</v>
      </c>
      <c r="L1033" s="88">
        <f>I1033*J1033*(1+K1033)</f>
        <v>152894</v>
      </c>
    </row>
    <row r="1034" spans="3:12" ht="13.5" hidden="1" thickBot="1" x14ac:dyDescent="0.3">
      <c r="C1034" s="94"/>
      <c r="D1034" s="485" t="s">
        <v>508</v>
      </c>
      <c r="E1034" s="485"/>
      <c r="F1034" s="485"/>
      <c r="G1034" s="485"/>
      <c r="H1034" s="485"/>
      <c r="I1034" s="485"/>
      <c r="J1034" s="485"/>
      <c r="K1034" s="485"/>
      <c r="L1034" s="84">
        <f>SUM(L1030:L1033)</f>
        <v>159690.29</v>
      </c>
    </row>
    <row r="1035" spans="3:12" ht="13.5" hidden="1" thickBot="1" x14ac:dyDescent="0.3">
      <c r="C1035" s="486"/>
      <c r="D1035" s="487"/>
      <c r="E1035" s="487"/>
      <c r="F1035" s="487"/>
      <c r="G1035" s="487"/>
      <c r="H1035" s="487"/>
      <c r="I1035" s="487"/>
      <c r="J1035" s="487"/>
      <c r="K1035" s="487"/>
      <c r="L1035" s="488"/>
    </row>
    <row r="1036" spans="3:12" hidden="1" x14ac:dyDescent="0.25">
      <c r="C1036" s="466" t="s">
        <v>509</v>
      </c>
      <c r="D1036" s="467"/>
      <c r="E1036" s="467"/>
      <c r="F1036" s="467"/>
      <c r="G1036" s="467"/>
      <c r="H1036" s="467"/>
      <c r="I1036" s="467"/>
      <c r="J1036" s="467"/>
      <c r="K1036" s="467"/>
      <c r="L1036" s="468"/>
    </row>
    <row r="1037" spans="3:12" hidden="1" x14ac:dyDescent="0.25">
      <c r="C1037" s="72" t="s">
        <v>66</v>
      </c>
      <c r="D1037" s="492" t="s">
        <v>498</v>
      </c>
      <c r="E1037" s="492"/>
      <c r="F1037" s="492"/>
      <c r="G1037" s="492"/>
      <c r="H1037" s="73" t="s">
        <v>506</v>
      </c>
      <c r="I1037" s="73" t="s">
        <v>499</v>
      </c>
      <c r="J1037" s="74" t="s">
        <v>510</v>
      </c>
      <c r="K1037" s="85" t="s">
        <v>511</v>
      </c>
      <c r="L1037" s="70" t="s">
        <v>502</v>
      </c>
    </row>
    <row r="1038" spans="3:12" hidden="1" x14ac:dyDescent="0.25">
      <c r="C1038" s="90"/>
      <c r="D1038" s="494"/>
      <c r="E1038" s="494"/>
      <c r="F1038" s="494"/>
      <c r="G1038" s="494"/>
      <c r="H1038" s="76"/>
      <c r="I1038" s="97"/>
      <c r="J1038" s="97"/>
      <c r="K1038" s="95"/>
      <c r="L1038" s="96"/>
    </row>
    <row r="1039" spans="3:12" hidden="1" x14ac:dyDescent="0.25">
      <c r="C1039" s="90"/>
      <c r="D1039" s="495"/>
      <c r="E1039" s="495"/>
      <c r="F1039" s="495"/>
      <c r="G1039" s="495"/>
      <c r="H1039" s="76"/>
      <c r="I1039" s="97"/>
      <c r="J1039" s="97"/>
      <c r="K1039" s="95"/>
      <c r="L1039" s="96"/>
    </row>
    <row r="1040" spans="3:12" hidden="1" x14ac:dyDescent="0.25">
      <c r="C1040" s="90"/>
      <c r="D1040" s="495"/>
      <c r="E1040" s="495"/>
      <c r="F1040" s="495"/>
      <c r="G1040" s="495"/>
      <c r="H1040" s="76"/>
      <c r="I1040" s="97"/>
      <c r="J1040" s="97"/>
      <c r="K1040" s="95"/>
      <c r="L1040" s="96"/>
    </row>
    <row r="1041" spans="3:15" ht="13.5" hidden="1" thickBot="1" x14ac:dyDescent="0.3">
      <c r="C1041" s="83"/>
      <c r="D1041" s="485" t="s">
        <v>512</v>
      </c>
      <c r="E1041" s="485"/>
      <c r="F1041" s="485"/>
      <c r="G1041" s="485"/>
      <c r="H1041" s="485"/>
      <c r="I1041" s="485"/>
      <c r="J1041" s="485"/>
      <c r="K1041" s="485"/>
      <c r="L1041" s="98">
        <f>L1038</f>
        <v>0</v>
      </c>
    </row>
    <row r="1042" spans="3:15" ht="13.5" hidden="1" thickBot="1" x14ac:dyDescent="0.3">
      <c r="C1042" s="477"/>
      <c r="D1042" s="478"/>
      <c r="E1042" s="478"/>
      <c r="F1042" s="478"/>
      <c r="G1042" s="478"/>
      <c r="H1042" s="478"/>
      <c r="I1042" s="478"/>
      <c r="J1042" s="478"/>
      <c r="K1042" s="478"/>
      <c r="L1042" s="479"/>
      <c r="O1042" s="119">
        <f>183300-(L1048+L1026+L1030+L1031+L1032)</f>
        <v>152894.37589900001</v>
      </c>
    </row>
    <row r="1043" spans="3:15" hidden="1" x14ac:dyDescent="0.25">
      <c r="C1043" s="466" t="s">
        <v>513</v>
      </c>
      <c r="D1043" s="467"/>
      <c r="E1043" s="467"/>
      <c r="F1043" s="467"/>
      <c r="G1043" s="467"/>
      <c r="H1043" s="467"/>
      <c r="I1043" s="467"/>
      <c r="J1043" s="467"/>
      <c r="K1043" s="467"/>
      <c r="L1043" s="468"/>
    </row>
    <row r="1044" spans="3:15" hidden="1" x14ac:dyDescent="0.25">
      <c r="C1044" s="72" t="s">
        <v>66</v>
      </c>
      <c r="D1044" s="492" t="s">
        <v>498</v>
      </c>
      <c r="E1044" s="492"/>
      <c r="F1044" s="85" t="s">
        <v>499</v>
      </c>
      <c r="G1044" s="85" t="s">
        <v>506</v>
      </c>
      <c r="H1044" s="73" t="s">
        <v>514</v>
      </c>
      <c r="I1044" s="99" t="s">
        <v>515</v>
      </c>
      <c r="J1044" s="85" t="s">
        <v>516</v>
      </c>
      <c r="K1044" s="99" t="s">
        <v>517</v>
      </c>
      <c r="L1044" s="100" t="s">
        <v>502</v>
      </c>
    </row>
    <row r="1045" spans="3:15" hidden="1" x14ac:dyDescent="0.25">
      <c r="C1045" s="79" t="s">
        <v>519</v>
      </c>
      <c r="D1045" s="460" t="str">
        <f>'MANO DE OBRA'!$B$3</f>
        <v>Ayudante</v>
      </c>
      <c r="E1045" s="461"/>
      <c r="F1045" s="97" t="str">
        <f>'MANO DE OBRA'!$C$2</f>
        <v>DIA</v>
      </c>
      <c r="G1045" s="76">
        <v>2</v>
      </c>
      <c r="H1045" s="101">
        <f>'MANO DE OBRA'!$D$3</f>
        <v>28981.77</v>
      </c>
      <c r="I1045" s="102">
        <v>0.75649999999999995</v>
      </c>
      <c r="J1045" s="103">
        <f>(H1045+(H1045*I1045))</f>
        <v>50906.479005000001</v>
      </c>
      <c r="K1045" s="76">
        <v>11</v>
      </c>
      <c r="L1045" s="96">
        <f>G1045*(J1045/K1045)</f>
        <v>9255.7234554545448</v>
      </c>
    </row>
    <row r="1046" spans="3:15" hidden="1" x14ac:dyDescent="0.25">
      <c r="C1046" s="112" t="s">
        <v>526</v>
      </c>
      <c r="D1046" s="460" t="str">
        <f>'MANO DE OBRA'!$B$2</f>
        <v>Oficial</v>
      </c>
      <c r="E1046" s="461"/>
      <c r="F1046" s="97" t="str">
        <f>'MANO DE OBRA'!$C$2</f>
        <v>DIA</v>
      </c>
      <c r="G1046" s="76">
        <v>1</v>
      </c>
      <c r="H1046" s="101">
        <f>'MANO DE OBRA'!$D$2</f>
        <v>47982</v>
      </c>
      <c r="I1046" s="102">
        <v>0.75649999999999995</v>
      </c>
      <c r="J1046" s="103">
        <f>(H1046+(H1046*I1046))</f>
        <v>84280.383000000002</v>
      </c>
      <c r="K1046" s="76">
        <f>+K1045</f>
        <v>11</v>
      </c>
      <c r="L1046" s="96">
        <f>G1046*(J1046/K1046)</f>
        <v>7661.8530000000001</v>
      </c>
    </row>
    <row r="1047" spans="3:15" hidden="1" x14ac:dyDescent="0.25">
      <c r="C1047" s="90"/>
      <c r="D1047" s="493"/>
      <c r="E1047" s="493"/>
      <c r="F1047" s="97"/>
      <c r="G1047" s="76"/>
      <c r="H1047" s="101"/>
      <c r="I1047" s="102"/>
      <c r="J1047" s="103"/>
      <c r="K1047" s="76"/>
      <c r="L1047" s="96"/>
    </row>
    <row r="1048" spans="3:15" ht="13.5" hidden="1" thickBot="1" x14ac:dyDescent="0.3">
      <c r="C1048" s="83"/>
      <c r="D1048" s="485" t="s">
        <v>520</v>
      </c>
      <c r="E1048" s="485"/>
      <c r="F1048" s="485"/>
      <c r="G1048" s="485"/>
      <c r="H1048" s="485"/>
      <c r="I1048" s="485"/>
      <c r="J1048" s="485"/>
      <c r="K1048" s="485"/>
      <c r="L1048" s="98">
        <f>L1046+L1045</f>
        <v>16917.576455454546</v>
      </c>
    </row>
    <row r="1049" spans="3:15" ht="13.5" hidden="1" thickBot="1" x14ac:dyDescent="0.3">
      <c r="C1049" s="486"/>
      <c r="D1049" s="487"/>
      <c r="E1049" s="487"/>
      <c r="F1049" s="487"/>
      <c r="G1049" s="487"/>
      <c r="H1049" s="487"/>
      <c r="I1049" s="487"/>
      <c r="J1049" s="487"/>
      <c r="K1049" s="487"/>
      <c r="L1049" s="488"/>
    </row>
    <row r="1050" spans="3:15" ht="13.5" hidden="1" thickBot="1" x14ac:dyDescent="0.3">
      <c r="C1050" s="489" t="s">
        <v>521</v>
      </c>
      <c r="D1050" s="490"/>
      <c r="E1050" s="490"/>
      <c r="F1050" s="490"/>
      <c r="G1050" s="490"/>
      <c r="H1050" s="490"/>
      <c r="I1050" s="490"/>
      <c r="J1050" s="491"/>
      <c r="K1050" s="145">
        <f>ROUND(L1048+L1041+L1034+L1026,0)</f>
        <v>183300</v>
      </c>
      <c r="L1050" s="146"/>
    </row>
    <row r="1051" spans="3:15" hidden="1" x14ac:dyDescent="0.25"/>
    <row r="1052" spans="3:15" ht="13.5" hidden="1" thickBot="1" x14ac:dyDescent="0.3"/>
    <row r="1053" spans="3:15" hidden="1" x14ac:dyDescent="0.25">
      <c r="C1053" s="466" t="s">
        <v>495</v>
      </c>
      <c r="D1053" s="467"/>
      <c r="E1053" s="467"/>
      <c r="F1053" s="467"/>
      <c r="G1053" s="467"/>
      <c r="H1053" s="467"/>
      <c r="I1053" s="467"/>
      <c r="J1053" s="467"/>
      <c r="K1053" s="467"/>
      <c r="L1053" s="468"/>
    </row>
    <row r="1054" spans="3:15" ht="12.75" hidden="1" customHeight="1" x14ac:dyDescent="0.25">
      <c r="C1054" s="469" t="str">
        <f>+PPTO!$A$2</f>
        <v>REPOSICION E INSTALACION VALVULAS DE SECTORIZACION EN DIFERENTES SECTORES DEL MUNICIPIO DE PIEDECUESTA - SANTANDER.</v>
      </c>
      <c r="D1054" s="470"/>
      <c r="E1054" s="470"/>
      <c r="F1054" s="470"/>
      <c r="G1054" s="470"/>
      <c r="H1054" s="470"/>
      <c r="I1054" s="470"/>
      <c r="J1054" s="470"/>
      <c r="K1054" s="470"/>
      <c r="L1054" s="471"/>
    </row>
    <row r="1055" spans="3:15" hidden="1" x14ac:dyDescent="0.25">
      <c r="C1055" s="472" t="s">
        <v>496</v>
      </c>
      <c r="D1055" s="141">
        <f>+PPTO!$A$20</f>
        <v>4</v>
      </c>
      <c r="E1055" s="474" t="str">
        <f>+PPTO!$B$20</f>
        <v>SUMINISTRO E INSTALACION DE TUBERIAS Y ACCESORIOS.</v>
      </c>
      <c r="F1055" s="475"/>
      <c r="G1055" s="475"/>
      <c r="H1055" s="475"/>
      <c r="I1055" s="475"/>
      <c r="J1055" s="475"/>
      <c r="K1055" s="475"/>
      <c r="L1055" s="70" t="s">
        <v>52</v>
      </c>
    </row>
    <row r="1056" spans="3:15" ht="13.5" hidden="1" thickBot="1" x14ac:dyDescent="0.3">
      <c r="C1056" s="473"/>
      <c r="D1056" s="120">
        <f>+PPTO!A40</f>
        <v>4.2</v>
      </c>
      <c r="E1056" s="476" t="str">
        <f>+PPTO!B40</f>
        <v>Suministro e instalación tubería pvc presión rde 21 d= 10"</v>
      </c>
      <c r="F1056" s="476"/>
      <c r="G1056" s="476"/>
      <c r="H1056" s="476"/>
      <c r="I1056" s="476"/>
      <c r="J1056" s="476"/>
      <c r="K1056" s="476"/>
      <c r="L1056" s="71" t="str">
        <f>+PPTO!C40</f>
        <v>ML</v>
      </c>
    </row>
    <row r="1057" spans="3:12" ht="13.5" hidden="1" thickBot="1" x14ac:dyDescent="0.3">
      <c r="C1057" s="477"/>
      <c r="D1057" s="478"/>
      <c r="E1057" s="478"/>
      <c r="F1057" s="478"/>
      <c r="G1057" s="478"/>
      <c r="H1057" s="478"/>
      <c r="I1057" s="478"/>
      <c r="J1057" s="478"/>
      <c r="K1057" s="478"/>
      <c r="L1057" s="479"/>
    </row>
    <row r="1058" spans="3:12" hidden="1" x14ac:dyDescent="0.25">
      <c r="C1058" s="466" t="s">
        <v>497</v>
      </c>
      <c r="D1058" s="467"/>
      <c r="E1058" s="467"/>
      <c r="F1058" s="467"/>
      <c r="G1058" s="467"/>
      <c r="H1058" s="467"/>
      <c r="I1058" s="467"/>
      <c r="J1058" s="467"/>
      <c r="K1058" s="467"/>
      <c r="L1058" s="468"/>
    </row>
    <row r="1059" spans="3:12" hidden="1" x14ac:dyDescent="0.25">
      <c r="C1059" s="72" t="s">
        <v>66</v>
      </c>
      <c r="D1059" s="492" t="s">
        <v>498</v>
      </c>
      <c r="E1059" s="492"/>
      <c r="F1059" s="492"/>
      <c r="G1059" s="492"/>
      <c r="H1059" s="492"/>
      <c r="I1059" s="73" t="s">
        <v>499</v>
      </c>
      <c r="J1059" s="74" t="s">
        <v>500</v>
      </c>
      <c r="K1059" s="73" t="s">
        <v>501</v>
      </c>
      <c r="L1059" s="70" t="s">
        <v>502</v>
      </c>
    </row>
    <row r="1060" spans="3:12" hidden="1" x14ac:dyDescent="0.25">
      <c r="C1060" s="75"/>
      <c r="D1060" s="460"/>
      <c r="E1060" s="499"/>
      <c r="F1060" s="499"/>
      <c r="G1060" s="499"/>
      <c r="H1060" s="461"/>
      <c r="I1060" s="76"/>
      <c r="J1060" s="76"/>
      <c r="K1060" s="77"/>
      <c r="L1060" s="78"/>
    </row>
    <row r="1061" spans="3:12" hidden="1" x14ac:dyDescent="0.25">
      <c r="C1061" s="147" t="s">
        <v>12</v>
      </c>
      <c r="D1061" s="493" t="str">
        <f>+EQUIPO!$B$7</f>
        <v>Diferencial</v>
      </c>
      <c r="E1061" s="493"/>
      <c r="F1061" s="493"/>
      <c r="G1061" s="493"/>
      <c r="H1061" s="493"/>
      <c r="I1061" s="76" t="str">
        <f>+EQUIPO!$C$7</f>
        <v>día</v>
      </c>
      <c r="J1061" s="80">
        <v>10</v>
      </c>
      <c r="K1061" s="81">
        <f>+EQUIPO!$D$7</f>
        <v>50000</v>
      </c>
      <c r="L1061" s="78">
        <f>+K1061/J1061</f>
        <v>5000</v>
      </c>
    </row>
    <row r="1062" spans="3:12" hidden="1" x14ac:dyDescent="0.25">
      <c r="C1062" s="79"/>
      <c r="D1062" s="493" t="s">
        <v>503</v>
      </c>
      <c r="E1062" s="493"/>
      <c r="F1062" s="493"/>
      <c r="G1062" s="493"/>
      <c r="H1062" s="493"/>
      <c r="I1062" s="76" t="s">
        <v>61</v>
      </c>
      <c r="J1062" s="80">
        <v>1</v>
      </c>
      <c r="K1062" s="81">
        <f>L1085*0.1</f>
        <v>2067.7037890000001</v>
      </c>
      <c r="L1062" s="82">
        <f>K1062/J1062</f>
        <v>2067.7037890000001</v>
      </c>
    </row>
    <row r="1063" spans="3:12" ht="13.5" hidden="1" thickBot="1" x14ac:dyDescent="0.3">
      <c r="C1063" s="83"/>
      <c r="D1063" s="485" t="s">
        <v>504</v>
      </c>
      <c r="E1063" s="485"/>
      <c r="F1063" s="485"/>
      <c r="G1063" s="485"/>
      <c r="H1063" s="485"/>
      <c r="I1063" s="485"/>
      <c r="J1063" s="485"/>
      <c r="K1063" s="485"/>
      <c r="L1063" s="84">
        <f>SUM(L1060:L1062)</f>
        <v>7067.7037890000001</v>
      </c>
    </row>
    <row r="1064" spans="3:12" ht="13.5" hidden="1" thickBot="1" x14ac:dyDescent="0.3">
      <c r="C1064" s="477"/>
      <c r="D1064" s="478"/>
      <c r="E1064" s="478"/>
      <c r="F1064" s="478"/>
      <c r="G1064" s="478"/>
      <c r="H1064" s="478"/>
      <c r="I1064" s="478"/>
      <c r="J1064" s="478"/>
      <c r="K1064" s="478"/>
      <c r="L1064" s="479"/>
    </row>
    <row r="1065" spans="3:12" hidden="1" x14ac:dyDescent="0.25">
      <c r="C1065" s="466" t="s">
        <v>505</v>
      </c>
      <c r="D1065" s="467"/>
      <c r="E1065" s="467"/>
      <c r="F1065" s="467"/>
      <c r="G1065" s="467"/>
      <c r="H1065" s="467"/>
      <c r="I1065" s="467"/>
      <c r="J1065" s="467"/>
      <c r="K1065" s="467"/>
      <c r="L1065" s="468"/>
    </row>
    <row r="1066" spans="3:12" ht="25.5" hidden="1" x14ac:dyDescent="0.25">
      <c r="C1066" s="72" t="s">
        <v>66</v>
      </c>
      <c r="D1066" s="492" t="s">
        <v>498</v>
      </c>
      <c r="E1066" s="492"/>
      <c r="F1066" s="492"/>
      <c r="G1066" s="492"/>
      <c r="H1066" s="73" t="s">
        <v>499</v>
      </c>
      <c r="I1066" s="74" t="s">
        <v>506</v>
      </c>
      <c r="J1066" s="73" t="s">
        <v>501</v>
      </c>
      <c r="K1066" s="85" t="s">
        <v>507</v>
      </c>
      <c r="L1066" s="70" t="s">
        <v>502</v>
      </c>
    </row>
    <row r="1067" spans="3:12" hidden="1" x14ac:dyDescent="0.25">
      <c r="C1067" s="113" t="s">
        <v>731</v>
      </c>
      <c r="D1067" s="498" t="str">
        <f>+MATERIALES!$B$302</f>
        <v>Lubricante tarro</v>
      </c>
      <c r="E1067" s="496"/>
      <c r="F1067" s="496"/>
      <c r="G1067" s="497"/>
      <c r="H1067" s="73" t="str">
        <f>+MATERIALES!$C$302</f>
        <v>Kg</v>
      </c>
      <c r="I1067" s="76">
        <v>0.01</v>
      </c>
      <c r="J1067" s="86">
        <f>+MATERIALES!$D$302</f>
        <v>43900</v>
      </c>
      <c r="K1067" s="87">
        <v>0.01</v>
      </c>
      <c r="L1067" s="88">
        <f>I1067*J1067*(1+K1067)</f>
        <v>443.39</v>
      </c>
    </row>
    <row r="1068" spans="3:12" hidden="1" x14ac:dyDescent="0.25">
      <c r="C1068" s="90" t="s">
        <v>732</v>
      </c>
      <c r="D1068" s="498" t="str">
        <f>+MATERIALES!$B$303</f>
        <v>Limpiador PVC 760 grms</v>
      </c>
      <c r="E1068" s="496"/>
      <c r="F1068" s="496"/>
      <c r="G1068" s="497"/>
      <c r="H1068" s="73" t="str">
        <f>+MATERIALES!$C$303</f>
        <v>und</v>
      </c>
      <c r="I1068" s="76">
        <v>0.05</v>
      </c>
      <c r="J1068" s="86">
        <f>+MATERIALES!$D$303</f>
        <v>40900</v>
      </c>
      <c r="K1068" s="87">
        <v>0.01</v>
      </c>
      <c r="L1068" s="88">
        <f>I1068*J1068*(1+K1068)</f>
        <v>2065.4499999999998</v>
      </c>
    </row>
    <row r="1069" spans="3:12" hidden="1" x14ac:dyDescent="0.25">
      <c r="C1069" s="90" t="s">
        <v>733</v>
      </c>
      <c r="D1069" s="498" t="str">
        <f>+MATERIALES!$B$304</f>
        <v>Soldadura PVC 1/4 galon</v>
      </c>
      <c r="E1069" s="496"/>
      <c r="F1069" s="496"/>
      <c r="G1069" s="497"/>
      <c r="H1069" s="73" t="str">
        <f>+MATERIALES!$C$304</f>
        <v>und</v>
      </c>
      <c r="I1069" s="76">
        <v>0.05</v>
      </c>
      <c r="J1069" s="86">
        <f>+MATERIALES!$D$304</f>
        <v>84900</v>
      </c>
      <c r="K1069" s="87">
        <v>0.01</v>
      </c>
      <c r="L1069" s="88">
        <f>I1069*J1069*(1+K1069)</f>
        <v>4287.45</v>
      </c>
    </row>
    <row r="1070" spans="3:12" hidden="1" x14ac:dyDescent="0.25">
      <c r="C1070" s="113" t="s">
        <v>748</v>
      </c>
      <c r="D1070" s="498" t="str">
        <f>+MATERIALES!B310</f>
        <v>tubería pvc presión rde 21 d= 10"</v>
      </c>
      <c r="E1070" s="496"/>
      <c r="F1070" s="496"/>
      <c r="G1070" s="497"/>
      <c r="H1070" s="73" t="str">
        <f>+MATERIALES!C310</f>
        <v>ML.</v>
      </c>
      <c r="I1070" s="91">
        <v>1</v>
      </c>
      <c r="J1070" s="86">
        <f>+MATERIALES!D310</f>
        <v>243659</v>
      </c>
      <c r="K1070" s="93">
        <v>0</v>
      </c>
      <c r="L1070" s="88">
        <f>I1070*J1070*(1+K1070)</f>
        <v>243659</v>
      </c>
    </row>
    <row r="1071" spans="3:12" ht="13.5" hidden="1" thickBot="1" x14ac:dyDescent="0.3">
      <c r="C1071" s="94"/>
      <c r="D1071" s="485" t="s">
        <v>508</v>
      </c>
      <c r="E1071" s="485"/>
      <c r="F1071" s="485"/>
      <c r="G1071" s="485"/>
      <c r="H1071" s="485"/>
      <c r="I1071" s="485"/>
      <c r="J1071" s="485"/>
      <c r="K1071" s="485"/>
      <c r="L1071" s="84">
        <f>SUM(L1067:L1070)</f>
        <v>250455.29</v>
      </c>
    </row>
    <row r="1072" spans="3:12" ht="13.5" hidden="1" thickBot="1" x14ac:dyDescent="0.3">
      <c r="C1072" s="486"/>
      <c r="D1072" s="487"/>
      <c r="E1072" s="487"/>
      <c r="F1072" s="487"/>
      <c r="G1072" s="487"/>
      <c r="H1072" s="487"/>
      <c r="I1072" s="487"/>
      <c r="J1072" s="487"/>
      <c r="K1072" s="487"/>
      <c r="L1072" s="488"/>
    </row>
    <row r="1073" spans="3:15" hidden="1" x14ac:dyDescent="0.25">
      <c r="C1073" s="466" t="s">
        <v>509</v>
      </c>
      <c r="D1073" s="467"/>
      <c r="E1073" s="467"/>
      <c r="F1073" s="467"/>
      <c r="G1073" s="467"/>
      <c r="H1073" s="467"/>
      <c r="I1073" s="467"/>
      <c r="J1073" s="467"/>
      <c r="K1073" s="467"/>
      <c r="L1073" s="468"/>
    </row>
    <row r="1074" spans="3:15" hidden="1" x14ac:dyDescent="0.25">
      <c r="C1074" s="72" t="s">
        <v>66</v>
      </c>
      <c r="D1074" s="492" t="s">
        <v>498</v>
      </c>
      <c r="E1074" s="492"/>
      <c r="F1074" s="492"/>
      <c r="G1074" s="492"/>
      <c r="H1074" s="73" t="s">
        <v>506</v>
      </c>
      <c r="I1074" s="73" t="s">
        <v>499</v>
      </c>
      <c r="J1074" s="74" t="s">
        <v>510</v>
      </c>
      <c r="K1074" s="85" t="s">
        <v>511</v>
      </c>
      <c r="L1074" s="70" t="s">
        <v>502</v>
      </c>
    </row>
    <row r="1075" spans="3:15" hidden="1" x14ac:dyDescent="0.25">
      <c r="C1075" s="90"/>
      <c r="D1075" s="494"/>
      <c r="E1075" s="494"/>
      <c r="F1075" s="494"/>
      <c r="G1075" s="494"/>
      <c r="H1075" s="76"/>
      <c r="I1075" s="97"/>
      <c r="J1075" s="97"/>
      <c r="K1075" s="95"/>
      <c r="L1075" s="96"/>
    </row>
    <row r="1076" spans="3:15" hidden="1" x14ac:dyDescent="0.25">
      <c r="C1076" s="90"/>
      <c r="D1076" s="495"/>
      <c r="E1076" s="495"/>
      <c r="F1076" s="495"/>
      <c r="G1076" s="495"/>
      <c r="H1076" s="76"/>
      <c r="I1076" s="97"/>
      <c r="J1076" s="97"/>
      <c r="K1076" s="95"/>
      <c r="L1076" s="96"/>
    </row>
    <row r="1077" spans="3:15" hidden="1" x14ac:dyDescent="0.25">
      <c r="C1077" s="90"/>
      <c r="D1077" s="495"/>
      <c r="E1077" s="495"/>
      <c r="F1077" s="495"/>
      <c r="G1077" s="495"/>
      <c r="H1077" s="76"/>
      <c r="I1077" s="97"/>
      <c r="J1077" s="97"/>
      <c r="K1077" s="95"/>
      <c r="L1077" s="96"/>
    </row>
    <row r="1078" spans="3:15" ht="13.5" hidden="1" thickBot="1" x14ac:dyDescent="0.3">
      <c r="C1078" s="83"/>
      <c r="D1078" s="485" t="s">
        <v>512</v>
      </c>
      <c r="E1078" s="485"/>
      <c r="F1078" s="485"/>
      <c r="G1078" s="485"/>
      <c r="H1078" s="485"/>
      <c r="I1078" s="485"/>
      <c r="J1078" s="485"/>
      <c r="K1078" s="485"/>
      <c r="L1078" s="98">
        <f>L1075</f>
        <v>0</v>
      </c>
    </row>
    <row r="1079" spans="3:15" ht="13.5" hidden="1" thickBot="1" x14ac:dyDescent="0.3">
      <c r="C1079" s="477"/>
      <c r="D1079" s="478"/>
      <c r="E1079" s="478"/>
      <c r="F1079" s="478"/>
      <c r="G1079" s="478"/>
      <c r="H1079" s="478"/>
      <c r="I1079" s="478"/>
      <c r="J1079" s="478"/>
      <c r="K1079" s="478"/>
      <c r="L1079" s="479"/>
      <c r="O1079" s="119">
        <f>278200-(L1085+L1063+L1067+L1068+L1069)</f>
        <v>243658.96832099999</v>
      </c>
    </row>
    <row r="1080" spans="3:15" hidden="1" x14ac:dyDescent="0.25">
      <c r="C1080" s="466" t="s">
        <v>513</v>
      </c>
      <c r="D1080" s="467"/>
      <c r="E1080" s="467"/>
      <c r="F1080" s="467"/>
      <c r="G1080" s="467"/>
      <c r="H1080" s="467"/>
      <c r="I1080" s="467"/>
      <c r="J1080" s="467"/>
      <c r="K1080" s="467"/>
      <c r="L1080" s="468"/>
    </row>
    <row r="1081" spans="3:15" hidden="1" x14ac:dyDescent="0.25">
      <c r="C1081" s="72" t="s">
        <v>66</v>
      </c>
      <c r="D1081" s="492" t="s">
        <v>498</v>
      </c>
      <c r="E1081" s="492"/>
      <c r="F1081" s="85" t="s">
        <v>499</v>
      </c>
      <c r="G1081" s="85" t="s">
        <v>506</v>
      </c>
      <c r="H1081" s="73" t="s">
        <v>514</v>
      </c>
      <c r="I1081" s="99" t="s">
        <v>515</v>
      </c>
      <c r="J1081" s="85" t="s">
        <v>516</v>
      </c>
      <c r="K1081" s="99" t="s">
        <v>517</v>
      </c>
      <c r="L1081" s="100" t="s">
        <v>502</v>
      </c>
    </row>
    <row r="1082" spans="3:15" hidden="1" x14ac:dyDescent="0.25">
      <c r="C1082" s="79" t="s">
        <v>519</v>
      </c>
      <c r="D1082" s="460" t="str">
        <f>'MANO DE OBRA'!$B$3</f>
        <v>Ayudante</v>
      </c>
      <c r="E1082" s="461"/>
      <c r="F1082" s="97" t="str">
        <f>'MANO DE OBRA'!$C$2</f>
        <v>DIA</v>
      </c>
      <c r="G1082" s="76">
        <v>2</v>
      </c>
      <c r="H1082" s="101">
        <f>'MANO DE OBRA'!$D$3</f>
        <v>28981.77</v>
      </c>
      <c r="I1082" s="102">
        <v>0.75649999999999995</v>
      </c>
      <c r="J1082" s="103">
        <f>(H1082+(H1082*I1082))</f>
        <v>50906.479005000001</v>
      </c>
      <c r="K1082" s="76">
        <v>9</v>
      </c>
      <c r="L1082" s="96">
        <f>G1082*(J1082/K1082)</f>
        <v>11312.55089</v>
      </c>
    </row>
    <row r="1083" spans="3:15" hidden="1" x14ac:dyDescent="0.25">
      <c r="C1083" s="112" t="s">
        <v>526</v>
      </c>
      <c r="D1083" s="460" t="str">
        <f>'MANO DE OBRA'!$B$2</f>
        <v>Oficial</v>
      </c>
      <c r="E1083" s="461"/>
      <c r="F1083" s="97" t="str">
        <f>'MANO DE OBRA'!$C$2</f>
        <v>DIA</v>
      </c>
      <c r="G1083" s="76">
        <v>1</v>
      </c>
      <c r="H1083" s="101">
        <f>'MANO DE OBRA'!$D$2</f>
        <v>47982</v>
      </c>
      <c r="I1083" s="102">
        <v>0.75649999999999995</v>
      </c>
      <c r="J1083" s="103">
        <f>(H1083+(H1083*I1083))</f>
        <v>84280.383000000002</v>
      </c>
      <c r="K1083" s="76">
        <f>+K1082</f>
        <v>9</v>
      </c>
      <c r="L1083" s="96">
        <f>G1083*(J1083/K1083)</f>
        <v>9364.487000000001</v>
      </c>
    </row>
    <row r="1084" spans="3:15" hidden="1" x14ac:dyDescent="0.25">
      <c r="C1084" s="90"/>
      <c r="D1084" s="493"/>
      <c r="E1084" s="493"/>
      <c r="F1084" s="97"/>
      <c r="G1084" s="76"/>
      <c r="H1084" s="101"/>
      <c r="I1084" s="102"/>
      <c r="J1084" s="103"/>
      <c r="K1084" s="76"/>
      <c r="L1084" s="96"/>
    </row>
    <row r="1085" spans="3:15" ht="13.5" hidden="1" thickBot="1" x14ac:dyDescent="0.3">
      <c r="C1085" s="83"/>
      <c r="D1085" s="485" t="s">
        <v>520</v>
      </c>
      <c r="E1085" s="485"/>
      <c r="F1085" s="485"/>
      <c r="G1085" s="485"/>
      <c r="H1085" s="485"/>
      <c r="I1085" s="485"/>
      <c r="J1085" s="485"/>
      <c r="K1085" s="485"/>
      <c r="L1085" s="98">
        <f>L1083+L1082</f>
        <v>20677.03789</v>
      </c>
    </row>
    <row r="1086" spans="3:15" ht="13.5" hidden="1" thickBot="1" x14ac:dyDescent="0.3">
      <c r="C1086" s="486"/>
      <c r="D1086" s="487"/>
      <c r="E1086" s="487"/>
      <c r="F1086" s="487"/>
      <c r="G1086" s="487"/>
      <c r="H1086" s="487"/>
      <c r="I1086" s="487"/>
      <c r="J1086" s="487"/>
      <c r="K1086" s="487"/>
      <c r="L1086" s="488"/>
    </row>
    <row r="1087" spans="3:15" ht="13.5" hidden="1" thickBot="1" x14ac:dyDescent="0.3">
      <c r="C1087" s="489" t="s">
        <v>521</v>
      </c>
      <c r="D1087" s="490"/>
      <c r="E1087" s="490"/>
      <c r="F1087" s="490"/>
      <c r="G1087" s="490"/>
      <c r="H1087" s="490"/>
      <c r="I1087" s="490"/>
      <c r="J1087" s="491"/>
      <c r="K1087" s="145">
        <f>ROUND(L1085+L1078+L1071+L1063,0)</f>
        <v>278200</v>
      </c>
      <c r="L1087" s="146"/>
    </row>
    <row r="1088" spans="3:15" hidden="1" x14ac:dyDescent="0.25"/>
    <row r="1089" spans="3:12" ht="13.5" hidden="1" thickBot="1" x14ac:dyDescent="0.3"/>
    <row r="1090" spans="3:12" hidden="1" x14ac:dyDescent="0.25">
      <c r="C1090" s="466" t="s">
        <v>495</v>
      </c>
      <c r="D1090" s="467"/>
      <c r="E1090" s="467"/>
      <c r="F1090" s="467"/>
      <c r="G1090" s="467"/>
      <c r="H1090" s="467"/>
      <c r="I1090" s="467"/>
      <c r="J1090" s="467"/>
      <c r="K1090" s="467"/>
      <c r="L1090" s="468"/>
    </row>
    <row r="1091" spans="3:12" ht="12.75" hidden="1" customHeight="1" x14ac:dyDescent="0.25">
      <c r="C1091" s="469" t="str">
        <f>+PPTO!$A$2</f>
        <v>REPOSICION E INSTALACION VALVULAS DE SECTORIZACION EN DIFERENTES SECTORES DEL MUNICIPIO DE PIEDECUESTA - SANTANDER.</v>
      </c>
      <c r="D1091" s="470"/>
      <c r="E1091" s="470"/>
      <c r="F1091" s="470"/>
      <c r="G1091" s="470"/>
      <c r="H1091" s="470"/>
      <c r="I1091" s="470"/>
      <c r="J1091" s="470"/>
      <c r="K1091" s="470"/>
      <c r="L1091" s="471"/>
    </row>
    <row r="1092" spans="3:12" hidden="1" x14ac:dyDescent="0.25">
      <c r="C1092" s="472" t="s">
        <v>496</v>
      </c>
      <c r="D1092" s="141">
        <f>+PPTO!$A$20</f>
        <v>4</v>
      </c>
      <c r="E1092" s="474" t="str">
        <f>+PPTO!$B$20</f>
        <v>SUMINISTRO E INSTALACION DE TUBERIAS Y ACCESORIOS.</v>
      </c>
      <c r="F1092" s="475"/>
      <c r="G1092" s="475"/>
      <c r="H1092" s="475"/>
      <c r="I1092" s="475"/>
      <c r="J1092" s="475"/>
      <c r="K1092" s="475"/>
      <c r="L1092" s="70" t="s">
        <v>52</v>
      </c>
    </row>
    <row r="1093" spans="3:12" ht="13.5" hidden="1" thickBot="1" x14ac:dyDescent="0.3">
      <c r="C1093" s="473"/>
      <c r="D1093" s="120">
        <f>+PPTO!A41</f>
        <v>4.21</v>
      </c>
      <c r="E1093" s="476" t="str">
        <f>+PPTO!B41</f>
        <v>Suministro e instalación tubería pvc presión rde 21 d= 12"</v>
      </c>
      <c r="F1093" s="476"/>
      <c r="G1093" s="476"/>
      <c r="H1093" s="476"/>
      <c r="I1093" s="476"/>
      <c r="J1093" s="476"/>
      <c r="K1093" s="476"/>
      <c r="L1093" s="71" t="str">
        <f>+PPTO!C41</f>
        <v>ML</v>
      </c>
    </row>
    <row r="1094" spans="3:12" ht="13.5" hidden="1" thickBot="1" x14ac:dyDescent="0.3">
      <c r="C1094" s="477"/>
      <c r="D1094" s="478"/>
      <c r="E1094" s="478"/>
      <c r="F1094" s="478"/>
      <c r="G1094" s="478"/>
      <c r="H1094" s="478"/>
      <c r="I1094" s="478"/>
      <c r="J1094" s="478"/>
      <c r="K1094" s="478"/>
      <c r="L1094" s="479"/>
    </row>
    <row r="1095" spans="3:12" hidden="1" x14ac:dyDescent="0.25">
      <c r="C1095" s="466" t="s">
        <v>497</v>
      </c>
      <c r="D1095" s="467"/>
      <c r="E1095" s="467"/>
      <c r="F1095" s="467"/>
      <c r="G1095" s="467"/>
      <c r="H1095" s="467"/>
      <c r="I1095" s="467"/>
      <c r="J1095" s="467"/>
      <c r="K1095" s="467"/>
      <c r="L1095" s="468"/>
    </row>
    <row r="1096" spans="3:12" hidden="1" x14ac:dyDescent="0.25">
      <c r="C1096" s="72" t="s">
        <v>66</v>
      </c>
      <c r="D1096" s="492" t="s">
        <v>498</v>
      </c>
      <c r="E1096" s="492"/>
      <c r="F1096" s="492"/>
      <c r="G1096" s="492"/>
      <c r="H1096" s="492"/>
      <c r="I1096" s="73" t="s">
        <v>499</v>
      </c>
      <c r="J1096" s="74" t="s">
        <v>500</v>
      </c>
      <c r="K1096" s="73" t="s">
        <v>501</v>
      </c>
      <c r="L1096" s="70" t="s">
        <v>502</v>
      </c>
    </row>
    <row r="1097" spans="3:12" hidden="1" x14ac:dyDescent="0.25">
      <c r="C1097" s="75"/>
      <c r="D1097" s="460"/>
      <c r="E1097" s="499"/>
      <c r="F1097" s="499"/>
      <c r="G1097" s="499"/>
      <c r="H1097" s="461"/>
      <c r="I1097" s="76"/>
      <c r="J1097" s="76"/>
      <c r="K1097" s="77"/>
      <c r="L1097" s="78"/>
    </row>
    <row r="1098" spans="3:12" hidden="1" x14ac:dyDescent="0.25">
      <c r="C1098" s="147" t="s">
        <v>12</v>
      </c>
      <c r="D1098" s="493" t="str">
        <f>+EQUIPO!$B$7</f>
        <v>Diferencial</v>
      </c>
      <c r="E1098" s="493"/>
      <c r="F1098" s="493"/>
      <c r="G1098" s="493"/>
      <c r="H1098" s="493"/>
      <c r="I1098" s="76" t="str">
        <f>+EQUIPO!$C$7</f>
        <v>día</v>
      </c>
      <c r="J1098" s="80">
        <v>10</v>
      </c>
      <c r="K1098" s="81">
        <f>+EQUIPO!$D$7</f>
        <v>50000</v>
      </c>
      <c r="L1098" s="78">
        <f>+K1098/J1098</f>
        <v>5000</v>
      </c>
    </row>
    <row r="1099" spans="3:12" hidden="1" x14ac:dyDescent="0.25">
      <c r="C1099" s="79"/>
      <c r="D1099" s="493" t="s">
        <v>503</v>
      </c>
      <c r="E1099" s="493"/>
      <c r="F1099" s="493"/>
      <c r="G1099" s="493"/>
      <c r="H1099" s="493"/>
      <c r="I1099" s="76" t="s">
        <v>61</v>
      </c>
      <c r="J1099" s="80">
        <v>1</v>
      </c>
      <c r="K1099" s="81">
        <f>L1122*0.1</f>
        <v>2326.166762625</v>
      </c>
      <c r="L1099" s="82">
        <f>K1099/J1099</f>
        <v>2326.166762625</v>
      </c>
    </row>
    <row r="1100" spans="3:12" ht="13.5" hidden="1" thickBot="1" x14ac:dyDescent="0.3">
      <c r="C1100" s="83"/>
      <c r="D1100" s="485" t="s">
        <v>504</v>
      </c>
      <c r="E1100" s="485"/>
      <c r="F1100" s="485"/>
      <c r="G1100" s="485"/>
      <c r="H1100" s="485"/>
      <c r="I1100" s="485"/>
      <c r="J1100" s="485"/>
      <c r="K1100" s="485"/>
      <c r="L1100" s="84">
        <f>SUM(L1097:L1099)</f>
        <v>7326.166762625</v>
      </c>
    </row>
    <row r="1101" spans="3:12" ht="13.5" hidden="1" thickBot="1" x14ac:dyDescent="0.3">
      <c r="C1101" s="477"/>
      <c r="D1101" s="478"/>
      <c r="E1101" s="478"/>
      <c r="F1101" s="478"/>
      <c r="G1101" s="478"/>
      <c r="H1101" s="478"/>
      <c r="I1101" s="478"/>
      <c r="J1101" s="478"/>
      <c r="K1101" s="478"/>
      <c r="L1101" s="479"/>
    </row>
    <row r="1102" spans="3:12" hidden="1" x14ac:dyDescent="0.25">
      <c r="C1102" s="466" t="s">
        <v>505</v>
      </c>
      <c r="D1102" s="467"/>
      <c r="E1102" s="467"/>
      <c r="F1102" s="467"/>
      <c r="G1102" s="467"/>
      <c r="H1102" s="467"/>
      <c r="I1102" s="467"/>
      <c r="J1102" s="467"/>
      <c r="K1102" s="467"/>
      <c r="L1102" s="468"/>
    </row>
    <row r="1103" spans="3:12" ht="25.5" hidden="1" x14ac:dyDescent="0.25">
      <c r="C1103" s="72" t="s">
        <v>66</v>
      </c>
      <c r="D1103" s="492" t="s">
        <v>498</v>
      </c>
      <c r="E1103" s="492"/>
      <c r="F1103" s="492"/>
      <c r="G1103" s="492"/>
      <c r="H1103" s="73" t="s">
        <v>499</v>
      </c>
      <c r="I1103" s="74" t="s">
        <v>506</v>
      </c>
      <c r="J1103" s="73" t="s">
        <v>501</v>
      </c>
      <c r="K1103" s="85" t="s">
        <v>507</v>
      </c>
      <c r="L1103" s="70" t="s">
        <v>502</v>
      </c>
    </row>
    <row r="1104" spans="3:12" hidden="1" x14ac:dyDescent="0.25">
      <c r="C1104" s="113" t="s">
        <v>731</v>
      </c>
      <c r="D1104" s="498" t="str">
        <f>+MATERIALES!$B$302</f>
        <v>Lubricante tarro</v>
      </c>
      <c r="E1104" s="496"/>
      <c r="F1104" s="496"/>
      <c r="G1104" s="497"/>
      <c r="H1104" s="73" t="str">
        <f>+MATERIALES!$C$302</f>
        <v>Kg</v>
      </c>
      <c r="I1104" s="76">
        <v>0.01</v>
      </c>
      <c r="J1104" s="86">
        <f>+MATERIALES!$D$302</f>
        <v>43900</v>
      </c>
      <c r="K1104" s="87">
        <v>0.01</v>
      </c>
      <c r="L1104" s="88">
        <f>I1104*J1104*(1+K1104)</f>
        <v>443.39</v>
      </c>
    </row>
    <row r="1105" spans="3:15" hidden="1" x14ac:dyDescent="0.25">
      <c r="C1105" s="90" t="s">
        <v>732</v>
      </c>
      <c r="D1105" s="498" t="str">
        <f>+MATERIALES!$B$303</f>
        <v>Limpiador PVC 760 grms</v>
      </c>
      <c r="E1105" s="496"/>
      <c r="F1105" s="496"/>
      <c r="G1105" s="497"/>
      <c r="H1105" s="73" t="str">
        <f>+MATERIALES!$C$303</f>
        <v>und</v>
      </c>
      <c r="I1105" s="76">
        <v>0.05</v>
      </c>
      <c r="J1105" s="86">
        <f>+MATERIALES!$D$303</f>
        <v>40900</v>
      </c>
      <c r="K1105" s="87">
        <v>0.01</v>
      </c>
      <c r="L1105" s="88">
        <f>I1105*J1105*(1+K1105)</f>
        <v>2065.4499999999998</v>
      </c>
    </row>
    <row r="1106" spans="3:15" hidden="1" x14ac:dyDescent="0.25">
      <c r="C1106" s="90" t="s">
        <v>733</v>
      </c>
      <c r="D1106" s="498" t="str">
        <f>+MATERIALES!$B$304</f>
        <v>Soldadura PVC 1/4 galon</v>
      </c>
      <c r="E1106" s="496"/>
      <c r="F1106" s="496"/>
      <c r="G1106" s="497"/>
      <c r="H1106" s="73" t="str">
        <f>+MATERIALES!$C$304</f>
        <v>und</v>
      </c>
      <c r="I1106" s="76">
        <v>0.05</v>
      </c>
      <c r="J1106" s="86">
        <f>+MATERIALES!$D$304</f>
        <v>84900</v>
      </c>
      <c r="K1106" s="87">
        <v>0.01</v>
      </c>
      <c r="L1106" s="88">
        <f>I1106*J1106*(1+K1106)</f>
        <v>4287.45</v>
      </c>
    </row>
    <row r="1107" spans="3:15" hidden="1" x14ac:dyDescent="0.25">
      <c r="C1107" s="113" t="s">
        <v>749</v>
      </c>
      <c r="D1107" s="498" t="str">
        <f>+MATERIALES!B311</f>
        <v>tubería pvc presión rde 21 d= 12"</v>
      </c>
      <c r="E1107" s="496"/>
      <c r="F1107" s="496"/>
      <c r="G1107" s="497"/>
      <c r="H1107" s="73" t="str">
        <f>+MATERIALES!C311</f>
        <v>ML.</v>
      </c>
      <c r="I1107" s="91">
        <v>1</v>
      </c>
      <c r="J1107" s="86">
        <f>+MATERIALES!D311</f>
        <v>344416</v>
      </c>
      <c r="K1107" s="93">
        <v>0</v>
      </c>
      <c r="L1107" s="88">
        <f>I1107*J1107*(1+K1107)</f>
        <v>344416</v>
      </c>
    </row>
    <row r="1108" spans="3:15" ht="13.5" hidden="1" thickBot="1" x14ac:dyDescent="0.3">
      <c r="C1108" s="94"/>
      <c r="D1108" s="485" t="s">
        <v>508</v>
      </c>
      <c r="E1108" s="485"/>
      <c r="F1108" s="485"/>
      <c r="G1108" s="485"/>
      <c r="H1108" s="485"/>
      <c r="I1108" s="485"/>
      <c r="J1108" s="485"/>
      <c r="K1108" s="485"/>
      <c r="L1108" s="84">
        <f>SUM(L1104:L1107)</f>
        <v>351212.29</v>
      </c>
    </row>
    <row r="1109" spans="3:15" ht="13.5" hidden="1" thickBot="1" x14ac:dyDescent="0.3">
      <c r="C1109" s="486"/>
      <c r="D1109" s="487"/>
      <c r="E1109" s="487"/>
      <c r="F1109" s="487"/>
      <c r="G1109" s="487"/>
      <c r="H1109" s="487"/>
      <c r="I1109" s="487"/>
      <c r="J1109" s="487"/>
      <c r="K1109" s="487"/>
      <c r="L1109" s="488"/>
    </row>
    <row r="1110" spans="3:15" hidden="1" x14ac:dyDescent="0.25">
      <c r="C1110" s="466" t="s">
        <v>509</v>
      </c>
      <c r="D1110" s="467"/>
      <c r="E1110" s="467"/>
      <c r="F1110" s="467"/>
      <c r="G1110" s="467"/>
      <c r="H1110" s="467"/>
      <c r="I1110" s="467"/>
      <c r="J1110" s="467"/>
      <c r="K1110" s="467"/>
      <c r="L1110" s="468"/>
    </row>
    <row r="1111" spans="3:15" hidden="1" x14ac:dyDescent="0.25">
      <c r="C1111" s="72" t="s">
        <v>66</v>
      </c>
      <c r="D1111" s="492" t="s">
        <v>498</v>
      </c>
      <c r="E1111" s="492"/>
      <c r="F1111" s="492"/>
      <c r="G1111" s="492"/>
      <c r="H1111" s="73" t="s">
        <v>506</v>
      </c>
      <c r="I1111" s="73" t="s">
        <v>499</v>
      </c>
      <c r="J1111" s="74" t="s">
        <v>510</v>
      </c>
      <c r="K1111" s="85" t="s">
        <v>511</v>
      </c>
      <c r="L1111" s="70" t="s">
        <v>502</v>
      </c>
    </row>
    <row r="1112" spans="3:15" hidden="1" x14ac:dyDescent="0.25">
      <c r="C1112" s="90"/>
      <c r="D1112" s="494"/>
      <c r="E1112" s="494"/>
      <c r="F1112" s="494"/>
      <c r="G1112" s="494"/>
      <c r="H1112" s="76"/>
      <c r="I1112" s="97"/>
      <c r="J1112" s="97"/>
      <c r="K1112" s="95"/>
      <c r="L1112" s="96"/>
    </row>
    <row r="1113" spans="3:15" hidden="1" x14ac:dyDescent="0.25">
      <c r="C1113" s="90"/>
      <c r="D1113" s="495"/>
      <c r="E1113" s="495"/>
      <c r="F1113" s="495"/>
      <c r="G1113" s="495"/>
      <c r="H1113" s="76"/>
      <c r="I1113" s="97"/>
      <c r="J1113" s="97"/>
      <c r="K1113" s="95"/>
      <c r="L1113" s="96"/>
    </row>
    <row r="1114" spans="3:15" hidden="1" x14ac:dyDescent="0.25">
      <c r="C1114" s="90"/>
      <c r="D1114" s="495"/>
      <c r="E1114" s="495"/>
      <c r="F1114" s="495"/>
      <c r="G1114" s="495"/>
      <c r="H1114" s="76"/>
      <c r="I1114" s="97"/>
      <c r="J1114" s="97"/>
      <c r="K1114" s="95"/>
      <c r="L1114" s="96"/>
    </row>
    <row r="1115" spans="3:15" ht="13.5" hidden="1" thickBot="1" x14ac:dyDescent="0.3">
      <c r="C1115" s="83"/>
      <c r="D1115" s="485" t="s">
        <v>512</v>
      </c>
      <c r="E1115" s="485"/>
      <c r="F1115" s="485"/>
      <c r="G1115" s="485"/>
      <c r="H1115" s="485"/>
      <c r="I1115" s="485"/>
      <c r="J1115" s="485"/>
      <c r="K1115" s="485"/>
      <c r="L1115" s="98">
        <f>L1112</f>
        <v>0</v>
      </c>
    </row>
    <row r="1116" spans="3:15" ht="13.5" hidden="1" thickBot="1" x14ac:dyDescent="0.3">
      <c r="C1116" s="477"/>
      <c r="D1116" s="478"/>
      <c r="E1116" s="478"/>
      <c r="F1116" s="478"/>
      <c r="G1116" s="478"/>
      <c r="H1116" s="478"/>
      <c r="I1116" s="478"/>
      <c r="J1116" s="478"/>
      <c r="K1116" s="478"/>
      <c r="L1116" s="479"/>
      <c r="O1116" s="119">
        <f>381800-(L1122+L1100+L1104+L1105+L1106)</f>
        <v>344415.87561112503</v>
      </c>
    </row>
    <row r="1117" spans="3:15" hidden="1" x14ac:dyDescent="0.25">
      <c r="C1117" s="466" t="s">
        <v>513</v>
      </c>
      <c r="D1117" s="467"/>
      <c r="E1117" s="467"/>
      <c r="F1117" s="467"/>
      <c r="G1117" s="467"/>
      <c r="H1117" s="467"/>
      <c r="I1117" s="467"/>
      <c r="J1117" s="467"/>
      <c r="K1117" s="467"/>
      <c r="L1117" s="468"/>
    </row>
    <row r="1118" spans="3:15" hidden="1" x14ac:dyDescent="0.25">
      <c r="C1118" s="72" t="s">
        <v>66</v>
      </c>
      <c r="D1118" s="492" t="s">
        <v>498</v>
      </c>
      <c r="E1118" s="492"/>
      <c r="F1118" s="85" t="s">
        <v>499</v>
      </c>
      <c r="G1118" s="85" t="s">
        <v>506</v>
      </c>
      <c r="H1118" s="73" t="s">
        <v>514</v>
      </c>
      <c r="I1118" s="99" t="s">
        <v>515</v>
      </c>
      <c r="J1118" s="85" t="s">
        <v>516</v>
      </c>
      <c r="K1118" s="99" t="s">
        <v>517</v>
      </c>
      <c r="L1118" s="100" t="s">
        <v>502</v>
      </c>
    </row>
    <row r="1119" spans="3:15" hidden="1" x14ac:dyDescent="0.25">
      <c r="C1119" s="79" t="s">
        <v>519</v>
      </c>
      <c r="D1119" s="460" t="str">
        <f>'MANO DE OBRA'!$B$3</f>
        <v>Ayudante</v>
      </c>
      <c r="E1119" s="461"/>
      <c r="F1119" s="97" t="str">
        <f>'MANO DE OBRA'!$C$2</f>
        <v>DIA</v>
      </c>
      <c r="G1119" s="76">
        <v>2</v>
      </c>
      <c r="H1119" s="101">
        <f>'MANO DE OBRA'!$D$3</f>
        <v>28981.77</v>
      </c>
      <c r="I1119" s="102">
        <v>0.75649999999999995</v>
      </c>
      <c r="J1119" s="103">
        <f>(H1119+(H1119*I1119))</f>
        <v>50906.479005000001</v>
      </c>
      <c r="K1119" s="76">
        <v>8</v>
      </c>
      <c r="L1119" s="96">
        <f>G1119*(J1119/K1119)</f>
        <v>12726.61975125</v>
      </c>
    </row>
    <row r="1120" spans="3:15" hidden="1" x14ac:dyDescent="0.25">
      <c r="C1120" s="112" t="s">
        <v>526</v>
      </c>
      <c r="D1120" s="460" t="str">
        <f>'MANO DE OBRA'!$B$2</f>
        <v>Oficial</v>
      </c>
      <c r="E1120" s="461"/>
      <c r="F1120" s="97" t="str">
        <f>'MANO DE OBRA'!$C$2</f>
        <v>DIA</v>
      </c>
      <c r="G1120" s="76">
        <v>1</v>
      </c>
      <c r="H1120" s="101">
        <f>'MANO DE OBRA'!$D$2</f>
        <v>47982</v>
      </c>
      <c r="I1120" s="102">
        <v>0.75649999999999995</v>
      </c>
      <c r="J1120" s="103">
        <f>(H1120+(H1120*I1120))</f>
        <v>84280.383000000002</v>
      </c>
      <c r="K1120" s="76">
        <f>+K1119</f>
        <v>8</v>
      </c>
      <c r="L1120" s="96">
        <f>G1120*(J1120/K1120)</f>
        <v>10535.047875</v>
      </c>
    </row>
    <row r="1121" spans="3:12" hidden="1" x14ac:dyDescent="0.25">
      <c r="C1121" s="90"/>
      <c r="D1121" s="493"/>
      <c r="E1121" s="493"/>
      <c r="F1121" s="97"/>
      <c r="G1121" s="76"/>
      <c r="H1121" s="101"/>
      <c r="I1121" s="102"/>
      <c r="J1121" s="103"/>
      <c r="K1121" s="76"/>
      <c r="L1121" s="96"/>
    </row>
    <row r="1122" spans="3:12" ht="13.5" hidden="1" thickBot="1" x14ac:dyDescent="0.3">
      <c r="C1122" s="83"/>
      <c r="D1122" s="485" t="s">
        <v>520</v>
      </c>
      <c r="E1122" s="485"/>
      <c r="F1122" s="485"/>
      <c r="G1122" s="485"/>
      <c r="H1122" s="485"/>
      <c r="I1122" s="485"/>
      <c r="J1122" s="485"/>
      <c r="K1122" s="485"/>
      <c r="L1122" s="98">
        <f>L1120+L1119</f>
        <v>23261.66762625</v>
      </c>
    </row>
    <row r="1123" spans="3:12" ht="13.5" hidden="1" thickBot="1" x14ac:dyDescent="0.3">
      <c r="C1123" s="486"/>
      <c r="D1123" s="487"/>
      <c r="E1123" s="487"/>
      <c r="F1123" s="487"/>
      <c r="G1123" s="487"/>
      <c r="H1123" s="487"/>
      <c r="I1123" s="487"/>
      <c r="J1123" s="487"/>
      <c r="K1123" s="487"/>
      <c r="L1123" s="488"/>
    </row>
    <row r="1124" spans="3:12" ht="13.5" hidden="1" thickBot="1" x14ac:dyDescent="0.3">
      <c r="C1124" s="489" t="s">
        <v>521</v>
      </c>
      <c r="D1124" s="490"/>
      <c r="E1124" s="490"/>
      <c r="F1124" s="490"/>
      <c r="G1124" s="490"/>
      <c r="H1124" s="490"/>
      <c r="I1124" s="490"/>
      <c r="J1124" s="491"/>
      <c r="K1124" s="145">
        <f>ROUND(L1122+L1115+L1108+L1100,0)</f>
        <v>381800</v>
      </c>
      <c r="L1124" s="146"/>
    </row>
    <row r="1125" spans="3:12" hidden="1" x14ac:dyDescent="0.25"/>
    <row r="1126" spans="3:12" ht="13.5" hidden="1" thickBot="1" x14ac:dyDescent="0.3"/>
    <row r="1127" spans="3:12" hidden="1" x14ac:dyDescent="0.25">
      <c r="C1127" s="466" t="s">
        <v>495</v>
      </c>
      <c r="D1127" s="467"/>
      <c r="E1127" s="467"/>
      <c r="F1127" s="467"/>
      <c r="G1127" s="467"/>
      <c r="H1127" s="467"/>
      <c r="I1127" s="467"/>
      <c r="J1127" s="467"/>
      <c r="K1127" s="467"/>
      <c r="L1127" s="468"/>
    </row>
    <row r="1128" spans="3:12" ht="12.75" hidden="1" customHeight="1" x14ac:dyDescent="0.25">
      <c r="C1128" s="469" t="str">
        <f>+PPTO!$A$2</f>
        <v>REPOSICION E INSTALACION VALVULAS DE SECTORIZACION EN DIFERENTES SECTORES DEL MUNICIPIO DE PIEDECUESTA - SANTANDER.</v>
      </c>
      <c r="D1128" s="470"/>
      <c r="E1128" s="470"/>
      <c r="F1128" s="470"/>
      <c r="G1128" s="470"/>
      <c r="H1128" s="470"/>
      <c r="I1128" s="470"/>
      <c r="J1128" s="470"/>
      <c r="K1128" s="470"/>
      <c r="L1128" s="471"/>
    </row>
    <row r="1129" spans="3:12" hidden="1" x14ac:dyDescent="0.25">
      <c r="C1129" s="472" t="s">
        <v>496</v>
      </c>
      <c r="D1129" s="141">
        <f>+PPTO!$A$43</f>
        <v>5</v>
      </c>
      <c r="E1129" s="474" t="str">
        <f>+PPTO!$B$43</f>
        <v>VARIOS</v>
      </c>
      <c r="F1129" s="475"/>
      <c r="G1129" s="475"/>
      <c r="H1129" s="475"/>
      <c r="I1129" s="475"/>
      <c r="J1129" s="475"/>
      <c r="K1129" s="475"/>
      <c r="L1129" s="70" t="s">
        <v>52</v>
      </c>
    </row>
    <row r="1130" spans="3:12" ht="13.5" hidden="1" thickBot="1" x14ac:dyDescent="0.3">
      <c r="C1130" s="473"/>
      <c r="D1130" s="120">
        <f>+PPTO!A44</f>
        <v>5.01</v>
      </c>
      <c r="E1130" s="476" t="str">
        <f>+PPTO!B44</f>
        <v>Limpieza general</v>
      </c>
      <c r="F1130" s="476"/>
      <c r="G1130" s="476"/>
      <c r="H1130" s="476"/>
      <c r="I1130" s="476"/>
      <c r="J1130" s="476"/>
      <c r="K1130" s="476"/>
      <c r="L1130" s="71" t="str">
        <f>+PPTO!C44</f>
        <v>UND</v>
      </c>
    </row>
    <row r="1131" spans="3:12" ht="13.5" hidden="1" thickBot="1" x14ac:dyDescent="0.3">
      <c r="C1131" s="477"/>
      <c r="D1131" s="478"/>
      <c r="E1131" s="478"/>
      <c r="F1131" s="478"/>
      <c r="G1131" s="478"/>
      <c r="H1131" s="478"/>
      <c r="I1131" s="478"/>
      <c r="J1131" s="478"/>
      <c r="K1131" s="478"/>
      <c r="L1131" s="479"/>
    </row>
    <row r="1132" spans="3:12" hidden="1" x14ac:dyDescent="0.25">
      <c r="C1132" s="466" t="s">
        <v>497</v>
      </c>
      <c r="D1132" s="467"/>
      <c r="E1132" s="467"/>
      <c r="F1132" s="467"/>
      <c r="G1132" s="467"/>
      <c r="H1132" s="467"/>
      <c r="I1132" s="467"/>
      <c r="J1132" s="467"/>
      <c r="K1132" s="467"/>
      <c r="L1132" s="468"/>
    </row>
    <row r="1133" spans="3:12" hidden="1" x14ac:dyDescent="0.25">
      <c r="C1133" s="72" t="s">
        <v>66</v>
      </c>
      <c r="D1133" s="492" t="s">
        <v>498</v>
      </c>
      <c r="E1133" s="492"/>
      <c r="F1133" s="492"/>
      <c r="G1133" s="492"/>
      <c r="H1133" s="492"/>
      <c r="I1133" s="73" t="s">
        <v>499</v>
      </c>
      <c r="J1133" s="74" t="s">
        <v>500</v>
      </c>
      <c r="K1133" s="73" t="s">
        <v>501</v>
      </c>
      <c r="L1133" s="70" t="s">
        <v>502</v>
      </c>
    </row>
    <row r="1134" spans="3:12" hidden="1" x14ac:dyDescent="0.25">
      <c r="C1134" s="75"/>
      <c r="D1134" s="460"/>
      <c r="E1134" s="499"/>
      <c r="F1134" s="499"/>
      <c r="G1134" s="499"/>
      <c r="H1134" s="461"/>
      <c r="I1134" s="76"/>
      <c r="J1134" s="76"/>
      <c r="K1134" s="77"/>
      <c r="L1134" s="78"/>
    </row>
    <row r="1135" spans="3:12" hidden="1" x14ac:dyDescent="0.25">
      <c r="C1135" s="75"/>
      <c r="D1135" s="493"/>
      <c r="E1135" s="493"/>
      <c r="F1135" s="493"/>
      <c r="G1135" s="493"/>
      <c r="H1135" s="493"/>
      <c r="I1135" s="76"/>
      <c r="J1135" s="80"/>
      <c r="K1135" s="81"/>
      <c r="L1135" s="78"/>
    </row>
    <row r="1136" spans="3:12" hidden="1" x14ac:dyDescent="0.25">
      <c r="C1136" s="79"/>
      <c r="D1136" s="493" t="s">
        <v>503</v>
      </c>
      <c r="E1136" s="493"/>
      <c r="F1136" s="493"/>
      <c r="G1136" s="493"/>
      <c r="H1136" s="493"/>
      <c r="I1136" s="76" t="s">
        <v>61</v>
      </c>
      <c r="J1136" s="80">
        <v>1</v>
      </c>
      <c r="K1136" s="81">
        <f>L1157*0.1</f>
        <v>1527.1943701500002</v>
      </c>
      <c r="L1136" s="82">
        <f>K1136/J1136</f>
        <v>1527.1943701500002</v>
      </c>
    </row>
    <row r="1137" spans="3:15" ht="13.5" hidden="1" thickBot="1" x14ac:dyDescent="0.3">
      <c r="C1137" s="83"/>
      <c r="D1137" s="485" t="s">
        <v>504</v>
      </c>
      <c r="E1137" s="485"/>
      <c r="F1137" s="485"/>
      <c r="G1137" s="485"/>
      <c r="H1137" s="485"/>
      <c r="I1137" s="485"/>
      <c r="J1137" s="485"/>
      <c r="K1137" s="485"/>
      <c r="L1137" s="84">
        <f>SUM(L1134:L1136)</f>
        <v>1527.1943701500002</v>
      </c>
    </row>
    <row r="1138" spans="3:15" ht="13.5" hidden="1" thickBot="1" x14ac:dyDescent="0.3">
      <c r="C1138" s="477"/>
      <c r="D1138" s="478"/>
      <c r="E1138" s="478"/>
      <c r="F1138" s="478"/>
      <c r="G1138" s="478"/>
      <c r="H1138" s="478"/>
      <c r="I1138" s="478"/>
      <c r="J1138" s="478"/>
      <c r="K1138" s="478"/>
      <c r="L1138" s="479"/>
    </row>
    <row r="1139" spans="3:15" hidden="1" x14ac:dyDescent="0.25">
      <c r="C1139" s="466" t="s">
        <v>505</v>
      </c>
      <c r="D1139" s="467"/>
      <c r="E1139" s="467"/>
      <c r="F1139" s="467"/>
      <c r="G1139" s="467"/>
      <c r="H1139" s="467"/>
      <c r="I1139" s="467"/>
      <c r="J1139" s="467"/>
      <c r="K1139" s="467"/>
      <c r="L1139" s="468"/>
    </row>
    <row r="1140" spans="3:15" ht="25.5" hidden="1" x14ac:dyDescent="0.25">
      <c r="C1140" s="72" t="s">
        <v>66</v>
      </c>
      <c r="D1140" s="492" t="s">
        <v>498</v>
      </c>
      <c r="E1140" s="492"/>
      <c r="F1140" s="492"/>
      <c r="G1140" s="492"/>
      <c r="H1140" s="73" t="s">
        <v>499</v>
      </c>
      <c r="I1140" s="74" t="s">
        <v>506</v>
      </c>
      <c r="J1140" s="73" t="s">
        <v>501</v>
      </c>
      <c r="K1140" s="85" t="s">
        <v>507</v>
      </c>
      <c r="L1140" s="70" t="s">
        <v>502</v>
      </c>
    </row>
    <row r="1141" spans="3:15" hidden="1" x14ac:dyDescent="0.25">
      <c r="C1141" s="113" t="s">
        <v>757</v>
      </c>
      <c r="D1141" s="498" t="str">
        <f>+MATERIALES!$B$312</f>
        <v>Implementos de limpieza</v>
      </c>
      <c r="E1141" s="496"/>
      <c r="F1141" s="496"/>
      <c r="G1141" s="497"/>
      <c r="H1141" s="73" t="str">
        <f>+MATERIALES!$C$312</f>
        <v>glb</v>
      </c>
      <c r="I1141" s="76">
        <v>1</v>
      </c>
      <c r="J1141" s="86">
        <f>+MATERIALES!$D$312</f>
        <v>20401</v>
      </c>
      <c r="K1141" s="87">
        <v>0</v>
      </c>
      <c r="L1141" s="88">
        <f>I1141*J1141*(1+K1141)</f>
        <v>20401</v>
      </c>
    </row>
    <row r="1142" spans="3:15" hidden="1" x14ac:dyDescent="0.25">
      <c r="C1142" s="90"/>
      <c r="D1142" s="498"/>
      <c r="E1142" s="496"/>
      <c r="F1142" s="496"/>
      <c r="G1142" s="497"/>
      <c r="H1142" s="73"/>
      <c r="I1142" s="76"/>
      <c r="J1142" s="86"/>
      <c r="K1142" s="87"/>
      <c r="L1142" s="88"/>
    </row>
    <row r="1143" spans="3:15" ht="13.5" hidden="1" thickBot="1" x14ac:dyDescent="0.3">
      <c r="C1143" s="94"/>
      <c r="D1143" s="485" t="s">
        <v>508</v>
      </c>
      <c r="E1143" s="485"/>
      <c r="F1143" s="485"/>
      <c r="G1143" s="485"/>
      <c r="H1143" s="485"/>
      <c r="I1143" s="485"/>
      <c r="J1143" s="485"/>
      <c r="K1143" s="485"/>
      <c r="L1143" s="84">
        <f>SUM(L1141:L1142)</f>
        <v>20401</v>
      </c>
    </row>
    <row r="1144" spans="3:15" ht="13.5" hidden="1" thickBot="1" x14ac:dyDescent="0.3">
      <c r="C1144" s="486"/>
      <c r="D1144" s="487"/>
      <c r="E1144" s="487"/>
      <c r="F1144" s="487"/>
      <c r="G1144" s="487"/>
      <c r="H1144" s="487"/>
      <c r="I1144" s="487"/>
      <c r="J1144" s="487"/>
      <c r="K1144" s="487"/>
      <c r="L1144" s="488"/>
    </row>
    <row r="1145" spans="3:15" hidden="1" x14ac:dyDescent="0.25">
      <c r="C1145" s="466" t="s">
        <v>509</v>
      </c>
      <c r="D1145" s="467"/>
      <c r="E1145" s="467"/>
      <c r="F1145" s="467"/>
      <c r="G1145" s="467"/>
      <c r="H1145" s="467"/>
      <c r="I1145" s="467"/>
      <c r="J1145" s="467"/>
      <c r="K1145" s="467"/>
      <c r="L1145" s="468"/>
    </row>
    <row r="1146" spans="3:15" hidden="1" x14ac:dyDescent="0.25">
      <c r="C1146" s="72" t="s">
        <v>66</v>
      </c>
      <c r="D1146" s="492" t="s">
        <v>498</v>
      </c>
      <c r="E1146" s="492"/>
      <c r="F1146" s="492"/>
      <c r="G1146" s="492"/>
      <c r="H1146" s="73" t="s">
        <v>506</v>
      </c>
      <c r="I1146" s="73" t="s">
        <v>499</v>
      </c>
      <c r="J1146" s="74" t="s">
        <v>510</v>
      </c>
      <c r="K1146" s="85" t="s">
        <v>511</v>
      </c>
      <c r="L1146" s="70" t="s">
        <v>502</v>
      </c>
    </row>
    <row r="1147" spans="3:15" hidden="1" x14ac:dyDescent="0.25">
      <c r="C1147" s="90"/>
      <c r="D1147" s="494"/>
      <c r="E1147" s="494"/>
      <c r="F1147" s="494"/>
      <c r="G1147" s="494"/>
      <c r="H1147" s="76"/>
      <c r="I1147" s="97"/>
      <c r="J1147" s="97"/>
      <c r="K1147" s="95"/>
      <c r="L1147" s="96"/>
    </row>
    <row r="1148" spans="3:15" hidden="1" x14ac:dyDescent="0.25">
      <c r="C1148" s="90"/>
      <c r="D1148" s="495"/>
      <c r="E1148" s="495"/>
      <c r="F1148" s="495"/>
      <c r="G1148" s="495"/>
      <c r="H1148" s="76"/>
      <c r="I1148" s="97"/>
      <c r="J1148" s="97"/>
      <c r="K1148" s="95"/>
      <c r="L1148" s="96"/>
    </row>
    <row r="1149" spans="3:15" hidden="1" x14ac:dyDescent="0.25">
      <c r="C1149" s="90"/>
      <c r="D1149" s="495"/>
      <c r="E1149" s="495"/>
      <c r="F1149" s="495"/>
      <c r="G1149" s="495"/>
      <c r="H1149" s="76"/>
      <c r="I1149" s="97"/>
      <c r="J1149" s="97"/>
      <c r="K1149" s="95"/>
      <c r="L1149" s="96"/>
    </row>
    <row r="1150" spans="3:15" ht="13.5" hidden="1" thickBot="1" x14ac:dyDescent="0.3">
      <c r="C1150" s="83"/>
      <c r="D1150" s="485" t="s">
        <v>512</v>
      </c>
      <c r="E1150" s="485"/>
      <c r="F1150" s="485"/>
      <c r="G1150" s="485"/>
      <c r="H1150" s="485"/>
      <c r="I1150" s="485"/>
      <c r="J1150" s="485"/>
      <c r="K1150" s="485"/>
      <c r="L1150" s="98">
        <f>L1147</f>
        <v>0</v>
      </c>
    </row>
    <row r="1151" spans="3:15" ht="13.5" hidden="1" thickBot="1" x14ac:dyDescent="0.3">
      <c r="C1151" s="477"/>
      <c r="D1151" s="478"/>
      <c r="E1151" s="478"/>
      <c r="F1151" s="478"/>
      <c r="G1151" s="478"/>
      <c r="H1151" s="478"/>
      <c r="I1151" s="478"/>
      <c r="J1151" s="478"/>
      <c r="K1151" s="478"/>
      <c r="L1151" s="479"/>
      <c r="O1151" s="119">
        <f>37200-(L1157+L1137)</f>
        <v>20400.861928350001</v>
      </c>
    </row>
    <row r="1152" spans="3:15" hidden="1" x14ac:dyDescent="0.25">
      <c r="C1152" s="466" t="s">
        <v>513</v>
      </c>
      <c r="D1152" s="467"/>
      <c r="E1152" s="467"/>
      <c r="F1152" s="467"/>
      <c r="G1152" s="467"/>
      <c r="H1152" s="467"/>
      <c r="I1152" s="467"/>
      <c r="J1152" s="467"/>
      <c r="K1152" s="467"/>
      <c r="L1152" s="468"/>
    </row>
    <row r="1153" spans="3:12" hidden="1" x14ac:dyDescent="0.25">
      <c r="C1153" s="72" t="s">
        <v>66</v>
      </c>
      <c r="D1153" s="492" t="s">
        <v>498</v>
      </c>
      <c r="E1153" s="492"/>
      <c r="F1153" s="85" t="s">
        <v>499</v>
      </c>
      <c r="G1153" s="85" t="s">
        <v>506</v>
      </c>
      <c r="H1153" s="73" t="s">
        <v>514</v>
      </c>
      <c r="I1153" s="99" t="s">
        <v>515</v>
      </c>
      <c r="J1153" s="85" t="s">
        <v>516</v>
      </c>
      <c r="K1153" s="99" t="s">
        <v>517</v>
      </c>
      <c r="L1153" s="100" t="s">
        <v>502</v>
      </c>
    </row>
    <row r="1154" spans="3:12" hidden="1" x14ac:dyDescent="0.25">
      <c r="C1154" s="79" t="s">
        <v>519</v>
      </c>
      <c r="D1154" s="460" t="str">
        <f>'MANO DE OBRA'!$B$3</f>
        <v>Ayudante</v>
      </c>
      <c r="E1154" s="461"/>
      <c r="F1154" s="97" t="str">
        <f>'MANO DE OBRA'!$C$2</f>
        <v>DIA</v>
      </c>
      <c r="G1154" s="76">
        <v>3</v>
      </c>
      <c r="H1154" s="101">
        <f>'MANO DE OBRA'!$D$3</f>
        <v>28981.77</v>
      </c>
      <c r="I1154" s="102">
        <v>0.75649999999999995</v>
      </c>
      <c r="J1154" s="103">
        <f>(H1154+(H1154*I1154))</f>
        <v>50906.479005000001</v>
      </c>
      <c r="K1154" s="76">
        <v>10</v>
      </c>
      <c r="L1154" s="96">
        <f>G1154*(J1154/K1154)</f>
        <v>15271.9437015</v>
      </c>
    </row>
    <row r="1155" spans="3:12" hidden="1" x14ac:dyDescent="0.25">
      <c r="C1155" s="112"/>
      <c r="D1155" s="460"/>
      <c r="E1155" s="461"/>
      <c r="F1155" s="97"/>
      <c r="G1155" s="76"/>
      <c r="H1155" s="101"/>
      <c r="I1155" s="102"/>
      <c r="J1155" s="103"/>
      <c r="K1155" s="76"/>
      <c r="L1155" s="96"/>
    </row>
    <row r="1156" spans="3:12" hidden="1" x14ac:dyDescent="0.25">
      <c r="C1156" s="90"/>
      <c r="D1156" s="493"/>
      <c r="E1156" s="493"/>
      <c r="F1156" s="97"/>
      <c r="G1156" s="76"/>
      <c r="H1156" s="101"/>
      <c r="I1156" s="102"/>
      <c r="J1156" s="103"/>
      <c r="K1156" s="76"/>
      <c r="L1156" s="96"/>
    </row>
    <row r="1157" spans="3:12" ht="13.5" hidden="1" thickBot="1" x14ac:dyDescent="0.3">
      <c r="C1157" s="83"/>
      <c r="D1157" s="485" t="s">
        <v>520</v>
      </c>
      <c r="E1157" s="485"/>
      <c r="F1157" s="485"/>
      <c r="G1157" s="485"/>
      <c r="H1157" s="485"/>
      <c r="I1157" s="485"/>
      <c r="J1157" s="485"/>
      <c r="K1157" s="485"/>
      <c r="L1157" s="98">
        <f>L1155+L1154</f>
        <v>15271.9437015</v>
      </c>
    </row>
    <row r="1158" spans="3:12" ht="13.5" hidden="1" thickBot="1" x14ac:dyDescent="0.3">
      <c r="C1158" s="486"/>
      <c r="D1158" s="487"/>
      <c r="E1158" s="487"/>
      <c r="F1158" s="487"/>
      <c r="G1158" s="487"/>
      <c r="H1158" s="487"/>
      <c r="I1158" s="487"/>
      <c r="J1158" s="487"/>
      <c r="K1158" s="487"/>
      <c r="L1158" s="488"/>
    </row>
    <row r="1159" spans="3:12" ht="13.5" hidden="1" thickBot="1" x14ac:dyDescent="0.3">
      <c r="C1159" s="489" t="s">
        <v>521</v>
      </c>
      <c r="D1159" s="490"/>
      <c r="E1159" s="490"/>
      <c r="F1159" s="490"/>
      <c r="G1159" s="490"/>
      <c r="H1159" s="490"/>
      <c r="I1159" s="490"/>
      <c r="J1159" s="491"/>
      <c r="K1159" s="145">
        <f>ROUND(L1157+L1150+L1143+L1137,0)</f>
        <v>37200</v>
      </c>
      <c r="L1159" s="146"/>
    </row>
    <row r="1160" spans="3:12" hidden="1" x14ac:dyDescent="0.25"/>
    <row r="1161" spans="3:12" ht="13.5" hidden="1" thickBot="1" x14ac:dyDescent="0.3"/>
    <row r="1162" spans="3:12" hidden="1" x14ac:dyDescent="0.25">
      <c r="C1162" s="466" t="s">
        <v>495</v>
      </c>
      <c r="D1162" s="467"/>
      <c r="E1162" s="467"/>
      <c r="F1162" s="467"/>
      <c r="G1162" s="467"/>
      <c r="H1162" s="467"/>
      <c r="I1162" s="467"/>
      <c r="J1162" s="467"/>
      <c r="K1162" s="467"/>
      <c r="L1162" s="468"/>
    </row>
    <row r="1163" spans="3:12" ht="12.75" hidden="1" customHeight="1" x14ac:dyDescent="0.25">
      <c r="C1163" s="469" t="str">
        <f>+PPTO!$A$2</f>
        <v>REPOSICION E INSTALACION VALVULAS DE SECTORIZACION EN DIFERENTES SECTORES DEL MUNICIPIO DE PIEDECUESTA - SANTANDER.</v>
      </c>
      <c r="D1163" s="470"/>
      <c r="E1163" s="470"/>
      <c r="F1163" s="470"/>
      <c r="G1163" s="470"/>
      <c r="H1163" s="470"/>
      <c r="I1163" s="470"/>
      <c r="J1163" s="470"/>
      <c r="K1163" s="470"/>
      <c r="L1163" s="471"/>
    </row>
    <row r="1164" spans="3:12" hidden="1" x14ac:dyDescent="0.25">
      <c r="C1164" s="472" t="s">
        <v>496</v>
      </c>
      <c r="D1164" s="141">
        <f>+PPTO!$A$43</f>
        <v>5</v>
      </c>
      <c r="E1164" s="474" t="str">
        <f>+PPTO!$B$43</f>
        <v>VARIOS</v>
      </c>
      <c r="F1164" s="475"/>
      <c r="G1164" s="475"/>
      <c r="H1164" s="475"/>
      <c r="I1164" s="475"/>
      <c r="J1164" s="475"/>
      <c r="K1164" s="475"/>
      <c r="L1164" s="70" t="s">
        <v>52</v>
      </c>
    </row>
    <row r="1165" spans="3:12" ht="13.5" hidden="1" thickBot="1" x14ac:dyDescent="0.3">
      <c r="C1165" s="473"/>
      <c r="D1165" s="120">
        <f>+PPTO!A45</f>
        <v>5.0199999999999996</v>
      </c>
      <c r="E1165" s="476" t="str">
        <f>+PPTO!B45</f>
        <v>Levantamiento y digitalización de planos</v>
      </c>
      <c r="F1165" s="476"/>
      <c r="G1165" s="476"/>
      <c r="H1165" s="476"/>
      <c r="I1165" s="476"/>
      <c r="J1165" s="476"/>
      <c r="K1165" s="476"/>
      <c r="L1165" s="71" t="str">
        <f>+PPTO!C45</f>
        <v>GB</v>
      </c>
    </row>
    <row r="1166" spans="3:12" ht="13.5" hidden="1" thickBot="1" x14ac:dyDescent="0.3">
      <c r="C1166" s="477"/>
      <c r="D1166" s="478"/>
      <c r="E1166" s="478"/>
      <c r="F1166" s="478"/>
      <c r="G1166" s="478"/>
      <c r="H1166" s="478"/>
      <c r="I1166" s="478"/>
      <c r="J1166" s="478"/>
      <c r="K1166" s="478"/>
      <c r="L1166" s="479"/>
    </row>
    <row r="1167" spans="3:12" hidden="1" x14ac:dyDescent="0.25">
      <c r="C1167" s="466" t="s">
        <v>497</v>
      </c>
      <c r="D1167" s="467"/>
      <c r="E1167" s="467"/>
      <c r="F1167" s="467"/>
      <c r="G1167" s="467"/>
      <c r="H1167" s="467"/>
      <c r="I1167" s="467"/>
      <c r="J1167" s="467"/>
      <c r="K1167" s="467"/>
      <c r="L1167" s="468"/>
    </row>
    <row r="1168" spans="3:12" hidden="1" x14ac:dyDescent="0.25">
      <c r="C1168" s="72" t="s">
        <v>66</v>
      </c>
      <c r="D1168" s="492" t="s">
        <v>498</v>
      </c>
      <c r="E1168" s="492"/>
      <c r="F1168" s="492"/>
      <c r="G1168" s="492"/>
      <c r="H1168" s="492"/>
      <c r="I1168" s="73" t="s">
        <v>499</v>
      </c>
      <c r="J1168" s="74" t="s">
        <v>500</v>
      </c>
      <c r="K1168" s="73" t="s">
        <v>501</v>
      </c>
      <c r="L1168" s="70" t="s">
        <v>502</v>
      </c>
    </row>
    <row r="1169" spans="3:12" hidden="1" x14ac:dyDescent="0.25">
      <c r="C1169" s="75"/>
      <c r="D1169" s="460"/>
      <c r="E1169" s="499"/>
      <c r="F1169" s="499"/>
      <c r="G1169" s="499"/>
      <c r="H1169" s="461"/>
      <c r="I1169" s="76"/>
      <c r="J1169" s="76"/>
      <c r="K1169" s="77"/>
      <c r="L1169" s="78"/>
    </row>
    <row r="1170" spans="3:12" hidden="1" x14ac:dyDescent="0.25">
      <c r="C1170" s="75"/>
      <c r="D1170" s="493"/>
      <c r="E1170" s="493"/>
      <c r="F1170" s="493"/>
      <c r="G1170" s="493"/>
      <c r="H1170" s="493"/>
      <c r="I1170" s="76"/>
      <c r="J1170" s="80"/>
      <c r="K1170" s="81"/>
      <c r="L1170" s="78"/>
    </row>
    <row r="1171" spans="3:12" hidden="1" x14ac:dyDescent="0.25">
      <c r="C1171" s="79"/>
      <c r="D1171" s="493" t="s">
        <v>503</v>
      </c>
      <c r="E1171" s="493"/>
      <c r="F1171" s="493"/>
      <c r="G1171" s="493"/>
      <c r="H1171" s="493"/>
      <c r="I1171" s="76" t="s">
        <v>61</v>
      </c>
      <c r="J1171" s="80">
        <v>1</v>
      </c>
      <c r="K1171" s="81">
        <f>L1192*0.1</f>
        <v>0</v>
      </c>
      <c r="L1171" s="82">
        <f>K1171/J1171</f>
        <v>0</v>
      </c>
    </row>
    <row r="1172" spans="3:12" ht="13.5" hidden="1" thickBot="1" x14ac:dyDescent="0.3">
      <c r="C1172" s="83"/>
      <c r="D1172" s="485" t="s">
        <v>504</v>
      </c>
      <c r="E1172" s="485"/>
      <c r="F1172" s="485"/>
      <c r="G1172" s="485"/>
      <c r="H1172" s="485"/>
      <c r="I1172" s="485"/>
      <c r="J1172" s="485"/>
      <c r="K1172" s="485"/>
      <c r="L1172" s="84">
        <f>SUM(L1169:L1171)</f>
        <v>0</v>
      </c>
    </row>
    <row r="1173" spans="3:12" ht="13.5" hidden="1" thickBot="1" x14ac:dyDescent="0.3">
      <c r="C1173" s="477"/>
      <c r="D1173" s="478"/>
      <c r="E1173" s="478"/>
      <c r="F1173" s="478"/>
      <c r="G1173" s="478"/>
      <c r="H1173" s="478"/>
      <c r="I1173" s="478"/>
      <c r="J1173" s="478"/>
      <c r="K1173" s="478"/>
      <c r="L1173" s="479"/>
    </row>
    <row r="1174" spans="3:12" hidden="1" x14ac:dyDescent="0.25">
      <c r="C1174" s="466" t="s">
        <v>505</v>
      </c>
      <c r="D1174" s="467"/>
      <c r="E1174" s="467"/>
      <c r="F1174" s="467"/>
      <c r="G1174" s="467"/>
      <c r="H1174" s="467"/>
      <c r="I1174" s="467"/>
      <c r="J1174" s="467"/>
      <c r="K1174" s="467"/>
      <c r="L1174" s="468"/>
    </row>
    <row r="1175" spans="3:12" ht="25.5" hidden="1" x14ac:dyDescent="0.25">
      <c r="C1175" s="72" t="s">
        <v>66</v>
      </c>
      <c r="D1175" s="492" t="s">
        <v>498</v>
      </c>
      <c r="E1175" s="492"/>
      <c r="F1175" s="492"/>
      <c r="G1175" s="492"/>
      <c r="H1175" s="73" t="s">
        <v>499</v>
      </c>
      <c r="I1175" s="74" t="s">
        <v>506</v>
      </c>
      <c r="J1175" s="73" t="s">
        <v>501</v>
      </c>
      <c r="K1175" s="85" t="s">
        <v>507</v>
      </c>
      <c r="L1175" s="70" t="s">
        <v>502</v>
      </c>
    </row>
    <row r="1176" spans="3:12" hidden="1" x14ac:dyDescent="0.25">
      <c r="C1176" s="113"/>
      <c r="D1176" s="481" t="s">
        <v>688</v>
      </c>
      <c r="E1176" s="496"/>
      <c r="F1176" s="496"/>
      <c r="G1176" s="497"/>
      <c r="H1176" s="73" t="str">
        <f>+MATERIALES!$C$312</f>
        <v>glb</v>
      </c>
      <c r="I1176" s="76">
        <v>1</v>
      </c>
      <c r="J1176" s="86">
        <v>1499100</v>
      </c>
      <c r="K1176" s="87">
        <v>0</v>
      </c>
      <c r="L1176" s="88">
        <f>I1176*J1176*(1+K1176)</f>
        <v>1499100</v>
      </c>
    </row>
    <row r="1177" spans="3:12" hidden="1" x14ac:dyDescent="0.25">
      <c r="C1177" s="90"/>
      <c r="D1177" s="498"/>
      <c r="E1177" s="496"/>
      <c r="F1177" s="496"/>
      <c r="G1177" s="497"/>
      <c r="H1177" s="73"/>
      <c r="I1177" s="76"/>
      <c r="J1177" s="86"/>
      <c r="K1177" s="87"/>
      <c r="L1177" s="88"/>
    </row>
    <row r="1178" spans="3:12" ht="13.5" hidden="1" thickBot="1" x14ac:dyDescent="0.3">
      <c r="C1178" s="94"/>
      <c r="D1178" s="485" t="s">
        <v>508</v>
      </c>
      <c r="E1178" s="485"/>
      <c r="F1178" s="485"/>
      <c r="G1178" s="485"/>
      <c r="H1178" s="485"/>
      <c r="I1178" s="485"/>
      <c r="J1178" s="485"/>
      <c r="K1178" s="485"/>
      <c r="L1178" s="84">
        <f>SUM(L1176:L1177)</f>
        <v>1499100</v>
      </c>
    </row>
    <row r="1179" spans="3:12" ht="13.5" hidden="1" thickBot="1" x14ac:dyDescent="0.3">
      <c r="C1179" s="486"/>
      <c r="D1179" s="487"/>
      <c r="E1179" s="487"/>
      <c r="F1179" s="487"/>
      <c r="G1179" s="487"/>
      <c r="H1179" s="487"/>
      <c r="I1179" s="487"/>
      <c r="J1179" s="487"/>
      <c r="K1179" s="487"/>
      <c r="L1179" s="488"/>
    </row>
    <row r="1180" spans="3:12" hidden="1" x14ac:dyDescent="0.25">
      <c r="C1180" s="466" t="s">
        <v>509</v>
      </c>
      <c r="D1180" s="467"/>
      <c r="E1180" s="467"/>
      <c r="F1180" s="467"/>
      <c r="G1180" s="467"/>
      <c r="H1180" s="467"/>
      <c r="I1180" s="467"/>
      <c r="J1180" s="467"/>
      <c r="K1180" s="467"/>
      <c r="L1180" s="468"/>
    </row>
    <row r="1181" spans="3:12" hidden="1" x14ac:dyDescent="0.25">
      <c r="C1181" s="72" t="s">
        <v>66</v>
      </c>
      <c r="D1181" s="492" t="s">
        <v>498</v>
      </c>
      <c r="E1181" s="492"/>
      <c r="F1181" s="492"/>
      <c r="G1181" s="492"/>
      <c r="H1181" s="73" t="s">
        <v>506</v>
      </c>
      <c r="I1181" s="73" t="s">
        <v>499</v>
      </c>
      <c r="J1181" s="74" t="s">
        <v>510</v>
      </c>
      <c r="K1181" s="85" t="s">
        <v>511</v>
      </c>
      <c r="L1181" s="70" t="s">
        <v>502</v>
      </c>
    </row>
    <row r="1182" spans="3:12" hidden="1" x14ac:dyDescent="0.25">
      <c r="C1182" s="90"/>
      <c r="D1182" s="494"/>
      <c r="E1182" s="494"/>
      <c r="F1182" s="494"/>
      <c r="G1182" s="494"/>
      <c r="H1182" s="76"/>
      <c r="I1182" s="97"/>
      <c r="J1182" s="97"/>
      <c r="K1182" s="95"/>
      <c r="L1182" s="96"/>
    </row>
    <row r="1183" spans="3:12" hidden="1" x14ac:dyDescent="0.25">
      <c r="C1183" s="90"/>
      <c r="D1183" s="495"/>
      <c r="E1183" s="495"/>
      <c r="F1183" s="495"/>
      <c r="G1183" s="495"/>
      <c r="H1183" s="76"/>
      <c r="I1183" s="97"/>
      <c r="J1183" s="97"/>
      <c r="K1183" s="95"/>
      <c r="L1183" s="96"/>
    </row>
    <row r="1184" spans="3:12" hidden="1" x14ac:dyDescent="0.25">
      <c r="C1184" s="90"/>
      <c r="D1184" s="495"/>
      <c r="E1184" s="495"/>
      <c r="F1184" s="495"/>
      <c r="G1184" s="495"/>
      <c r="H1184" s="76"/>
      <c r="I1184" s="97"/>
      <c r="J1184" s="97"/>
      <c r="K1184" s="95"/>
      <c r="L1184" s="96"/>
    </row>
    <row r="1185" spans="3:15" ht="13.5" hidden="1" thickBot="1" x14ac:dyDescent="0.3">
      <c r="C1185" s="83"/>
      <c r="D1185" s="485" t="s">
        <v>512</v>
      </c>
      <c r="E1185" s="485"/>
      <c r="F1185" s="485"/>
      <c r="G1185" s="485"/>
      <c r="H1185" s="485"/>
      <c r="I1185" s="485"/>
      <c r="J1185" s="485"/>
      <c r="K1185" s="485"/>
      <c r="L1185" s="98">
        <f>L1182</f>
        <v>0</v>
      </c>
    </row>
    <row r="1186" spans="3:15" ht="13.5" hidden="1" thickBot="1" x14ac:dyDescent="0.3">
      <c r="C1186" s="477"/>
      <c r="D1186" s="478"/>
      <c r="E1186" s="478"/>
      <c r="F1186" s="478"/>
      <c r="G1186" s="478"/>
      <c r="H1186" s="478"/>
      <c r="I1186" s="478"/>
      <c r="J1186" s="478"/>
      <c r="K1186" s="478"/>
      <c r="L1186" s="479"/>
      <c r="O1186" s="119">
        <f>37200-(L1192+L1172)</f>
        <v>37200</v>
      </c>
    </row>
    <row r="1187" spans="3:15" hidden="1" x14ac:dyDescent="0.25">
      <c r="C1187" s="466" t="s">
        <v>513</v>
      </c>
      <c r="D1187" s="467"/>
      <c r="E1187" s="467"/>
      <c r="F1187" s="467"/>
      <c r="G1187" s="467"/>
      <c r="H1187" s="467"/>
      <c r="I1187" s="467"/>
      <c r="J1187" s="467"/>
      <c r="K1187" s="467"/>
      <c r="L1187" s="468"/>
    </row>
    <row r="1188" spans="3:15" hidden="1" x14ac:dyDescent="0.25">
      <c r="C1188" s="72" t="s">
        <v>66</v>
      </c>
      <c r="D1188" s="492" t="s">
        <v>498</v>
      </c>
      <c r="E1188" s="492"/>
      <c r="F1188" s="85" t="s">
        <v>499</v>
      </c>
      <c r="G1188" s="85" t="s">
        <v>506</v>
      </c>
      <c r="H1188" s="73" t="s">
        <v>514</v>
      </c>
      <c r="I1188" s="99" t="s">
        <v>515</v>
      </c>
      <c r="J1188" s="85" t="s">
        <v>516</v>
      </c>
      <c r="K1188" s="99" t="s">
        <v>517</v>
      </c>
      <c r="L1188" s="100" t="s">
        <v>502</v>
      </c>
    </row>
    <row r="1189" spans="3:15" hidden="1" x14ac:dyDescent="0.25">
      <c r="C1189" s="79"/>
      <c r="D1189" s="460"/>
      <c r="E1189" s="461"/>
      <c r="F1189" s="97"/>
      <c r="G1189" s="76"/>
      <c r="H1189" s="101"/>
      <c r="I1189" s="102"/>
      <c r="J1189" s="103"/>
      <c r="K1189" s="76"/>
      <c r="L1189" s="96"/>
    </row>
    <row r="1190" spans="3:15" hidden="1" x14ac:dyDescent="0.25">
      <c r="C1190" s="112"/>
      <c r="D1190" s="460"/>
      <c r="E1190" s="461"/>
      <c r="F1190" s="97"/>
      <c r="G1190" s="76"/>
      <c r="H1190" s="101"/>
      <c r="I1190" s="102"/>
      <c r="J1190" s="103"/>
      <c r="K1190" s="76"/>
      <c r="L1190" s="96"/>
    </row>
    <row r="1191" spans="3:15" hidden="1" x14ac:dyDescent="0.25">
      <c r="C1191" s="90"/>
      <c r="D1191" s="493"/>
      <c r="E1191" s="493"/>
      <c r="F1191" s="97"/>
      <c r="G1191" s="76"/>
      <c r="H1191" s="101"/>
      <c r="I1191" s="102"/>
      <c r="J1191" s="103"/>
      <c r="K1191" s="76"/>
      <c r="L1191" s="96"/>
    </row>
    <row r="1192" spans="3:15" ht="13.5" hidden="1" thickBot="1" x14ac:dyDescent="0.3">
      <c r="C1192" s="83"/>
      <c r="D1192" s="485" t="s">
        <v>520</v>
      </c>
      <c r="E1192" s="485"/>
      <c r="F1192" s="485"/>
      <c r="G1192" s="485"/>
      <c r="H1192" s="485"/>
      <c r="I1192" s="485"/>
      <c r="J1192" s="485"/>
      <c r="K1192" s="485"/>
      <c r="L1192" s="98">
        <f>L1190+L1189</f>
        <v>0</v>
      </c>
    </row>
    <row r="1193" spans="3:15" ht="13.5" hidden="1" thickBot="1" x14ac:dyDescent="0.3">
      <c r="C1193" s="486"/>
      <c r="D1193" s="487"/>
      <c r="E1193" s="487"/>
      <c r="F1193" s="487"/>
      <c r="G1193" s="487"/>
      <c r="H1193" s="487"/>
      <c r="I1193" s="487"/>
      <c r="J1193" s="487"/>
      <c r="K1193" s="487"/>
      <c r="L1193" s="488"/>
    </row>
    <row r="1194" spans="3:15" ht="13.5" hidden="1" thickBot="1" x14ac:dyDescent="0.3">
      <c r="C1194" s="489" t="s">
        <v>521</v>
      </c>
      <c r="D1194" s="490"/>
      <c r="E1194" s="490"/>
      <c r="F1194" s="490"/>
      <c r="G1194" s="490"/>
      <c r="H1194" s="490"/>
      <c r="I1194" s="490"/>
      <c r="J1194" s="491"/>
      <c r="K1194" s="145">
        <f>ROUND(L1192+L1185+L1178+L1172,0)</f>
        <v>1499100</v>
      </c>
      <c r="L1194" s="146"/>
    </row>
    <row r="1195" spans="3:15" hidden="1" x14ac:dyDescent="0.25"/>
    <row r="1196" spans="3:15" hidden="1" x14ac:dyDescent="0.25"/>
    <row r="1197" spans="3:15" hidden="1" x14ac:dyDescent="0.25"/>
    <row r="1198" spans="3:15" hidden="1" x14ac:dyDescent="0.25"/>
    <row r="1199" spans="3:15" hidden="1" x14ac:dyDescent="0.25"/>
    <row r="1200" spans="3:15" hidden="1" x14ac:dyDescent="0.25"/>
    <row r="1201" spans="3:12" hidden="1" x14ac:dyDescent="0.25"/>
    <row r="1202" spans="3:12" hidden="1" x14ac:dyDescent="0.25"/>
    <row r="1203" spans="3:12" x14ac:dyDescent="0.25">
      <c r="C1203" s="466" t="s">
        <v>495</v>
      </c>
      <c r="D1203" s="467"/>
      <c r="E1203" s="467"/>
      <c r="F1203" s="467"/>
      <c r="G1203" s="467"/>
      <c r="H1203" s="467"/>
      <c r="I1203" s="467"/>
      <c r="J1203" s="467"/>
      <c r="K1203" s="467"/>
      <c r="L1203" s="468"/>
    </row>
    <row r="1204" spans="3:12" ht="12.75" customHeight="1" x14ac:dyDescent="0.25">
      <c r="C1204" s="469" t="str">
        <f>+PPTO!$A$2</f>
        <v>REPOSICION E INSTALACION VALVULAS DE SECTORIZACION EN DIFERENTES SECTORES DEL MUNICIPIO DE PIEDECUESTA - SANTANDER.</v>
      </c>
      <c r="D1204" s="470"/>
      <c r="E1204" s="470"/>
      <c r="F1204" s="470"/>
      <c r="G1204" s="470"/>
      <c r="H1204" s="470"/>
      <c r="I1204" s="470"/>
      <c r="J1204" s="470"/>
      <c r="K1204" s="470"/>
      <c r="L1204" s="471"/>
    </row>
    <row r="1205" spans="3:12" x14ac:dyDescent="0.25">
      <c r="C1205" s="472" t="s">
        <v>496</v>
      </c>
      <c r="D1205" s="141">
        <f>+'MAYORES Y MENORES 2'!A55</f>
        <v>6</v>
      </c>
      <c r="E1205" s="474" t="str">
        <f>+'MAYORES Y MENORES 2'!B55</f>
        <v>ITEMS NO PREVISTOS</v>
      </c>
      <c r="F1205" s="475"/>
      <c r="G1205" s="475"/>
      <c r="H1205" s="475"/>
      <c r="I1205" s="475"/>
      <c r="J1205" s="475"/>
      <c r="K1205" s="475"/>
      <c r="L1205" s="70" t="s">
        <v>52</v>
      </c>
    </row>
    <row r="1206" spans="3:12" ht="13.5" thickBot="1" x14ac:dyDescent="0.3">
      <c r="C1206" s="473"/>
      <c r="D1206" s="120">
        <f>+'MAYORES Y MENORES 2'!A63</f>
        <v>6.1</v>
      </c>
      <c r="E1206" s="476" t="str">
        <f>+'MAYORES Y MENORES 2'!B63</f>
        <v>Apique profundidad &lt; = 1,5 m incluye rotura y reposición de pavimento</v>
      </c>
      <c r="F1206" s="476"/>
      <c r="G1206" s="476"/>
      <c r="H1206" s="476"/>
      <c r="I1206" s="476"/>
      <c r="J1206" s="476"/>
      <c r="K1206" s="476"/>
      <c r="L1206" s="71" t="str">
        <f>+'MAYORES Y MENORES 2'!C63</f>
        <v>UND</v>
      </c>
    </row>
    <row r="1207" spans="3:12" ht="13.5" thickBot="1" x14ac:dyDescent="0.3">
      <c r="C1207" s="477"/>
      <c r="D1207" s="478"/>
      <c r="E1207" s="478"/>
      <c r="F1207" s="478"/>
      <c r="G1207" s="478"/>
      <c r="H1207" s="478"/>
      <c r="I1207" s="478"/>
      <c r="J1207" s="478"/>
      <c r="K1207" s="478"/>
      <c r="L1207" s="479"/>
    </row>
    <row r="1208" spans="3:12" x14ac:dyDescent="0.25">
      <c r="C1208" s="449" t="s">
        <v>497</v>
      </c>
      <c r="D1208" s="450"/>
      <c r="E1208" s="450"/>
      <c r="F1208" s="450"/>
      <c r="G1208" s="450"/>
      <c r="H1208" s="450"/>
      <c r="I1208" s="450"/>
      <c r="J1208" s="450"/>
      <c r="K1208" s="450"/>
      <c r="L1208" s="451"/>
    </row>
    <row r="1209" spans="3:12" x14ac:dyDescent="0.25">
      <c r="C1209" s="351" t="s">
        <v>66</v>
      </c>
      <c r="D1209" s="452" t="s">
        <v>498</v>
      </c>
      <c r="E1209" s="452"/>
      <c r="F1209" s="452"/>
      <c r="G1209" s="452"/>
      <c r="H1209" s="452"/>
      <c r="I1209" s="352" t="s">
        <v>499</v>
      </c>
      <c r="J1209" s="355" t="s">
        <v>500</v>
      </c>
      <c r="K1209" s="352" t="s">
        <v>501</v>
      </c>
      <c r="L1209" s="356" t="s">
        <v>502</v>
      </c>
    </row>
    <row r="1210" spans="3:12" x14ac:dyDescent="0.25">
      <c r="C1210" s="147"/>
      <c r="D1210" s="458"/>
      <c r="E1210" s="480"/>
      <c r="F1210" s="480"/>
      <c r="G1210" s="480"/>
      <c r="H1210" s="459"/>
      <c r="I1210" s="111"/>
      <c r="J1210" s="111"/>
      <c r="K1210" s="357"/>
      <c r="L1210" s="358"/>
    </row>
    <row r="1211" spans="3:12" x14ac:dyDescent="0.25">
      <c r="C1211" s="147"/>
      <c r="D1211" s="462"/>
      <c r="E1211" s="462"/>
      <c r="F1211" s="462"/>
      <c r="G1211" s="462"/>
      <c r="H1211" s="462"/>
      <c r="I1211" s="111"/>
      <c r="J1211" s="359"/>
      <c r="K1211" s="360"/>
      <c r="L1211" s="358"/>
    </row>
    <row r="1212" spans="3:12" x14ac:dyDescent="0.25">
      <c r="C1212" s="112"/>
      <c r="D1212" s="462" t="s">
        <v>503</v>
      </c>
      <c r="E1212" s="462"/>
      <c r="F1212" s="462"/>
      <c r="G1212" s="462"/>
      <c r="H1212" s="462"/>
      <c r="I1212" s="111" t="s">
        <v>61</v>
      </c>
      <c r="J1212" s="359">
        <v>1</v>
      </c>
      <c r="K1212" s="360">
        <f>L1232*0.1</f>
        <v>9304.6670505000002</v>
      </c>
      <c r="L1212" s="361">
        <f>K1212/J1212</f>
        <v>9304.6670505000002</v>
      </c>
    </row>
    <row r="1213" spans="3:12" ht="13.5" thickBot="1" x14ac:dyDescent="0.3">
      <c r="C1213" s="362"/>
      <c r="D1213" s="445" t="s">
        <v>504</v>
      </c>
      <c r="E1213" s="445"/>
      <c r="F1213" s="445"/>
      <c r="G1213" s="445"/>
      <c r="H1213" s="445"/>
      <c r="I1213" s="445"/>
      <c r="J1213" s="445"/>
      <c r="K1213" s="445"/>
      <c r="L1213" s="363">
        <f>SUM(L1210:L1212)</f>
        <v>9304.6670505000002</v>
      </c>
    </row>
    <row r="1214" spans="3:12" ht="13.5" thickBot="1" x14ac:dyDescent="0.3">
      <c r="C1214" s="455"/>
      <c r="D1214" s="456"/>
      <c r="E1214" s="456"/>
      <c r="F1214" s="456"/>
      <c r="G1214" s="456"/>
      <c r="H1214" s="456"/>
      <c r="I1214" s="456"/>
      <c r="J1214" s="456"/>
      <c r="K1214" s="456"/>
      <c r="L1214" s="457"/>
    </row>
    <row r="1215" spans="3:12" x14ac:dyDescent="0.25">
      <c r="C1215" s="449" t="s">
        <v>505</v>
      </c>
      <c r="D1215" s="450"/>
      <c r="E1215" s="450"/>
      <c r="F1215" s="450"/>
      <c r="G1215" s="450"/>
      <c r="H1215" s="450"/>
      <c r="I1215" s="450"/>
      <c r="J1215" s="450"/>
      <c r="K1215" s="450"/>
      <c r="L1215" s="451"/>
    </row>
    <row r="1216" spans="3:12" ht="25.5" x14ac:dyDescent="0.25">
      <c r="C1216" s="351" t="s">
        <v>66</v>
      </c>
      <c r="D1216" s="452" t="s">
        <v>498</v>
      </c>
      <c r="E1216" s="452"/>
      <c r="F1216" s="452"/>
      <c r="G1216" s="452"/>
      <c r="H1216" s="352" t="s">
        <v>499</v>
      </c>
      <c r="I1216" s="355" t="s">
        <v>506</v>
      </c>
      <c r="J1216" s="352" t="s">
        <v>501</v>
      </c>
      <c r="K1216" s="364" t="s">
        <v>507</v>
      </c>
      <c r="L1216" s="356" t="s">
        <v>502</v>
      </c>
    </row>
    <row r="1217" spans="3:15" ht="19.899999999999999" customHeight="1" x14ac:dyDescent="0.25">
      <c r="C1217" s="351" t="str">
        <f>+MATERIALES!A284</f>
        <v>MAT-254</v>
      </c>
      <c r="D1217" s="481" t="str">
        <f>+MATERIALES!B284</f>
        <v>Concreto 3000 psi</v>
      </c>
      <c r="E1217" s="482"/>
      <c r="F1217" s="482"/>
      <c r="G1217" s="483"/>
      <c r="H1217" s="352" t="str">
        <f>+MATERIALES!C284</f>
        <v>M3</v>
      </c>
      <c r="I1217" s="111">
        <v>0.09</v>
      </c>
      <c r="J1217" s="365">
        <f>+MATERIALES!D284</f>
        <v>680000</v>
      </c>
      <c r="K1217" s="366">
        <v>0.05</v>
      </c>
      <c r="L1217" s="367">
        <f>I1217*J1217*(1+K1217)</f>
        <v>64260</v>
      </c>
    </row>
    <row r="1218" spans="3:15" x14ac:dyDescent="0.25">
      <c r="C1218" s="113"/>
      <c r="D1218" s="484"/>
      <c r="E1218" s="484"/>
      <c r="F1218" s="484"/>
      <c r="G1218" s="484"/>
      <c r="H1218" s="368"/>
      <c r="I1218" s="369"/>
      <c r="J1218" s="370"/>
      <c r="K1218" s="371"/>
      <c r="L1218" s="361"/>
    </row>
    <row r="1219" spans="3:15" ht="13.5" thickBot="1" x14ac:dyDescent="0.3">
      <c r="C1219" s="372"/>
      <c r="D1219" s="445" t="s">
        <v>508</v>
      </c>
      <c r="E1219" s="445"/>
      <c r="F1219" s="445"/>
      <c r="G1219" s="445"/>
      <c r="H1219" s="445"/>
      <c r="I1219" s="445"/>
      <c r="J1219" s="445"/>
      <c r="K1219" s="445"/>
      <c r="L1219" s="363">
        <f>SUM(L1217:L1218)</f>
        <v>64260</v>
      </c>
    </row>
    <row r="1220" spans="3:15" ht="13.5" thickBot="1" x14ac:dyDescent="0.3">
      <c r="C1220" s="446"/>
      <c r="D1220" s="447"/>
      <c r="E1220" s="447"/>
      <c r="F1220" s="447"/>
      <c r="G1220" s="447"/>
      <c r="H1220" s="447"/>
      <c r="I1220" s="447"/>
      <c r="J1220" s="447"/>
      <c r="K1220" s="447"/>
      <c r="L1220" s="448"/>
    </row>
    <row r="1221" spans="3:15" x14ac:dyDescent="0.25">
      <c r="C1221" s="449" t="s">
        <v>509</v>
      </c>
      <c r="D1221" s="450"/>
      <c r="E1221" s="450"/>
      <c r="F1221" s="450"/>
      <c r="G1221" s="450"/>
      <c r="H1221" s="450"/>
      <c r="I1221" s="450"/>
      <c r="J1221" s="450"/>
      <c r="K1221" s="450"/>
      <c r="L1221" s="451"/>
    </row>
    <row r="1222" spans="3:15" x14ac:dyDescent="0.25">
      <c r="C1222" s="351" t="s">
        <v>66</v>
      </c>
      <c r="D1222" s="452" t="s">
        <v>498</v>
      </c>
      <c r="E1222" s="452"/>
      <c r="F1222" s="452"/>
      <c r="G1222" s="452"/>
      <c r="H1222" s="352" t="s">
        <v>506</v>
      </c>
      <c r="I1222" s="352" t="s">
        <v>499</v>
      </c>
      <c r="J1222" s="355" t="s">
        <v>510</v>
      </c>
      <c r="K1222" s="364" t="s">
        <v>511</v>
      </c>
      <c r="L1222" s="356" t="s">
        <v>502</v>
      </c>
    </row>
    <row r="1223" spans="3:15" x14ac:dyDescent="0.25">
      <c r="C1223" s="113"/>
      <c r="D1223" s="453"/>
      <c r="E1223" s="453"/>
      <c r="F1223" s="453"/>
      <c r="G1223" s="453"/>
      <c r="H1223" s="111"/>
      <c r="I1223" s="368"/>
      <c r="J1223" s="368"/>
      <c r="K1223" s="373"/>
      <c r="L1223" s="374"/>
      <c r="O1223" s="119"/>
    </row>
    <row r="1224" spans="3:15" x14ac:dyDescent="0.25">
      <c r="C1224" s="113"/>
      <c r="D1224" s="454"/>
      <c r="E1224" s="454"/>
      <c r="F1224" s="454"/>
      <c r="G1224" s="454"/>
      <c r="H1224" s="111"/>
      <c r="I1224" s="368"/>
      <c r="J1224" s="368"/>
      <c r="K1224" s="373"/>
      <c r="L1224" s="374"/>
    </row>
    <row r="1225" spans="3:15" ht="13.5" thickBot="1" x14ac:dyDescent="0.3">
      <c r="C1225" s="362"/>
      <c r="D1225" s="445" t="s">
        <v>512</v>
      </c>
      <c r="E1225" s="445"/>
      <c r="F1225" s="445"/>
      <c r="G1225" s="445"/>
      <c r="H1225" s="445"/>
      <c r="I1225" s="445"/>
      <c r="J1225" s="445"/>
      <c r="K1225" s="445"/>
      <c r="L1225" s="375">
        <f>L1223</f>
        <v>0</v>
      </c>
    </row>
    <row r="1226" spans="3:15" ht="13.5" thickBot="1" x14ac:dyDescent="0.3">
      <c r="C1226" s="455"/>
      <c r="D1226" s="456"/>
      <c r="E1226" s="456"/>
      <c r="F1226" s="456"/>
      <c r="G1226" s="456"/>
      <c r="H1226" s="456"/>
      <c r="I1226" s="456"/>
      <c r="J1226" s="456"/>
      <c r="K1226" s="456"/>
      <c r="L1226" s="457"/>
      <c r="O1226" s="117">
        <v>4</v>
      </c>
    </row>
    <row r="1227" spans="3:15" x14ac:dyDescent="0.25">
      <c r="C1227" s="449" t="s">
        <v>513</v>
      </c>
      <c r="D1227" s="450"/>
      <c r="E1227" s="450"/>
      <c r="F1227" s="450"/>
      <c r="G1227" s="450"/>
      <c r="H1227" s="450"/>
      <c r="I1227" s="450"/>
      <c r="J1227" s="450"/>
      <c r="K1227" s="450"/>
      <c r="L1227" s="451"/>
    </row>
    <row r="1228" spans="3:15" x14ac:dyDescent="0.25">
      <c r="C1228" s="351" t="s">
        <v>66</v>
      </c>
      <c r="D1228" s="452" t="s">
        <v>498</v>
      </c>
      <c r="E1228" s="452"/>
      <c r="F1228" s="364" t="s">
        <v>499</v>
      </c>
      <c r="G1228" s="364" t="s">
        <v>506</v>
      </c>
      <c r="H1228" s="352" t="s">
        <v>514</v>
      </c>
      <c r="I1228" s="376" t="s">
        <v>515</v>
      </c>
      <c r="J1228" s="364" t="s">
        <v>516</v>
      </c>
      <c r="K1228" s="376" t="s">
        <v>517</v>
      </c>
      <c r="L1228" s="377" t="s">
        <v>502</v>
      </c>
    </row>
    <row r="1229" spans="3:15" x14ac:dyDescent="0.25">
      <c r="C1229" s="112" t="s">
        <v>519</v>
      </c>
      <c r="D1229" s="458" t="str">
        <f>'MANO DE OBRA'!$B$3</f>
        <v>Ayudante</v>
      </c>
      <c r="E1229" s="459"/>
      <c r="F1229" s="368" t="str">
        <f>'MANO DE OBRA'!$C$2</f>
        <v>DIA</v>
      </c>
      <c r="G1229" s="111">
        <v>2</v>
      </c>
      <c r="H1229" s="378">
        <f>'MANO DE OBRA'!$D$3</f>
        <v>28981.77</v>
      </c>
      <c r="I1229" s="379">
        <v>0.75649999999999995</v>
      </c>
      <c r="J1229" s="380">
        <f>(H1229+(H1229*I1229))</f>
        <v>50906.479005000001</v>
      </c>
      <c r="K1229" s="111">
        <v>2</v>
      </c>
      <c r="L1229" s="374">
        <f>G1229*(J1229/K1229)</f>
        <v>50906.479005000001</v>
      </c>
    </row>
    <row r="1230" spans="3:15" x14ac:dyDescent="0.25">
      <c r="C1230" s="79" t="s">
        <v>526</v>
      </c>
      <c r="D1230" s="460" t="str">
        <f>'MANO DE OBRA'!$B$2</f>
        <v>Oficial</v>
      </c>
      <c r="E1230" s="461"/>
      <c r="F1230" s="97" t="str">
        <f>'MANO DE OBRA'!$C$3</f>
        <v>DIA</v>
      </c>
      <c r="G1230" s="76">
        <v>1</v>
      </c>
      <c r="H1230" s="101">
        <f>'MANO DE OBRA'!$D$2</f>
        <v>47982</v>
      </c>
      <c r="I1230" s="102">
        <v>0.75649999999999995</v>
      </c>
      <c r="J1230" s="103">
        <f>(H1230+(H1230*I1230))</f>
        <v>84280.383000000002</v>
      </c>
      <c r="K1230" s="76">
        <v>2</v>
      </c>
      <c r="L1230" s="96">
        <f>G1230*(J1230/K1230)</f>
        <v>42140.191500000001</v>
      </c>
    </row>
    <row r="1231" spans="3:15" x14ac:dyDescent="0.25">
      <c r="C1231" s="113"/>
      <c r="D1231" s="462"/>
      <c r="E1231" s="462"/>
      <c r="F1231" s="368"/>
      <c r="G1231" s="111"/>
      <c r="H1231" s="378"/>
      <c r="I1231" s="379"/>
      <c r="J1231" s="380"/>
      <c r="K1231" s="111"/>
      <c r="L1231" s="374"/>
    </row>
    <row r="1232" spans="3:15" ht="13.5" thickBot="1" x14ac:dyDescent="0.3">
      <c r="C1232" s="362"/>
      <c r="D1232" s="445" t="s">
        <v>520</v>
      </c>
      <c r="E1232" s="445"/>
      <c r="F1232" s="445"/>
      <c r="G1232" s="445"/>
      <c r="H1232" s="445"/>
      <c r="I1232" s="445"/>
      <c r="J1232" s="445"/>
      <c r="K1232" s="445"/>
      <c r="L1232" s="375">
        <f>L1230+L1229</f>
        <v>93046.670505000002</v>
      </c>
    </row>
    <row r="1233" spans="3:12" ht="13.5" thickBot="1" x14ac:dyDescent="0.3">
      <c r="C1233" s="446"/>
      <c r="D1233" s="447"/>
      <c r="E1233" s="447"/>
      <c r="F1233" s="447"/>
      <c r="G1233" s="447"/>
      <c r="H1233" s="447"/>
      <c r="I1233" s="447"/>
      <c r="J1233" s="447"/>
      <c r="K1233" s="447"/>
      <c r="L1233" s="448"/>
    </row>
    <row r="1234" spans="3:12" ht="13.5" thickBot="1" x14ac:dyDescent="0.3">
      <c r="C1234" s="463" t="s">
        <v>521</v>
      </c>
      <c r="D1234" s="464"/>
      <c r="E1234" s="464"/>
      <c r="F1234" s="464"/>
      <c r="G1234" s="464"/>
      <c r="H1234" s="464"/>
      <c r="I1234" s="464"/>
      <c r="J1234" s="465"/>
      <c r="K1234" s="381">
        <f>ROUND(L1232+L1225+L1219+L1213,0)</f>
        <v>166611</v>
      </c>
      <c r="L1234" s="382"/>
    </row>
    <row r="1236" spans="3:12" ht="13.5" thickBot="1" x14ac:dyDescent="0.3"/>
    <row r="1237" spans="3:12" x14ac:dyDescent="0.25">
      <c r="C1237" s="466" t="s">
        <v>495</v>
      </c>
      <c r="D1237" s="467"/>
      <c r="E1237" s="467"/>
      <c r="F1237" s="467"/>
      <c r="G1237" s="467"/>
      <c r="H1237" s="467"/>
      <c r="I1237" s="467"/>
      <c r="J1237" s="467"/>
      <c r="K1237" s="467"/>
      <c r="L1237" s="468"/>
    </row>
    <row r="1238" spans="3:12" ht="12.75" customHeight="1" x14ac:dyDescent="0.25">
      <c r="C1238" s="469" t="str">
        <f>+PPTO!$A$2</f>
        <v>REPOSICION E INSTALACION VALVULAS DE SECTORIZACION EN DIFERENTES SECTORES DEL MUNICIPIO DE PIEDECUESTA - SANTANDER.</v>
      </c>
      <c r="D1238" s="470"/>
      <c r="E1238" s="470"/>
      <c r="F1238" s="470"/>
      <c r="G1238" s="470"/>
      <c r="H1238" s="470"/>
      <c r="I1238" s="470"/>
      <c r="J1238" s="470"/>
      <c r="K1238" s="470"/>
      <c r="L1238" s="471"/>
    </row>
    <row r="1239" spans="3:12" x14ac:dyDescent="0.25">
      <c r="C1239" s="472" t="s">
        <v>496</v>
      </c>
      <c r="D1239" s="141">
        <f>+'MAYORES Y MENORES 2'!A55</f>
        <v>6</v>
      </c>
      <c r="E1239" s="474" t="str">
        <f>+'MAYORES Y MENORES 2'!B55</f>
        <v>ITEMS NO PREVISTOS</v>
      </c>
      <c r="F1239" s="475"/>
      <c r="G1239" s="475"/>
      <c r="H1239" s="475"/>
      <c r="I1239" s="475"/>
      <c r="J1239" s="475"/>
      <c r="K1239" s="475"/>
      <c r="L1239" s="70" t="s">
        <v>52</v>
      </c>
    </row>
    <row r="1240" spans="3:12" ht="13.5" thickBot="1" x14ac:dyDescent="0.3">
      <c r="C1240" s="473"/>
      <c r="D1240" s="120">
        <f>+'MAYORES Y MENORES 2'!A64</f>
        <v>6.11</v>
      </c>
      <c r="E1240" s="476" t="str">
        <f>+'MAYORES Y MENORES 2'!B64</f>
        <v>Apique profundidad &lt; = 1,5 m incluye excavación y relleno</v>
      </c>
      <c r="F1240" s="476"/>
      <c r="G1240" s="476"/>
      <c r="H1240" s="476"/>
      <c r="I1240" s="476"/>
      <c r="J1240" s="476"/>
      <c r="K1240" s="476"/>
      <c r="L1240" s="71" t="str">
        <f>+'MAYORES Y MENORES 2'!C64</f>
        <v>UND</v>
      </c>
    </row>
    <row r="1241" spans="3:12" ht="13.5" thickBot="1" x14ac:dyDescent="0.3">
      <c r="C1241" s="477"/>
      <c r="D1241" s="478"/>
      <c r="E1241" s="478"/>
      <c r="F1241" s="478"/>
      <c r="G1241" s="478"/>
      <c r="H1241" s="478"/>
      <c r="I1241" s="478"/>
      <c r="J1241" s="478"/>
      <c r="K1241" s="478"/>
      <c r="L1241" s="479"/>
    </row>
    <row r="1242" spans="3:12" x14ac:dyDescent="0.25">
      <c r="C1242" s="449" t="s">
        <v>497</v>
      </c>
      <c r="D1242" s="450"/>
      <c r="E1242" s="450"/>
      <c r="F1242" s="450"/>
      <c r="G1242" s="450"/>
      <c r="H1242" s="450"/>
      <c r="I1242" s="450"/>
      <c r="J1242" s="450"/>
      <c r="K1242" s="450"/>
      <c r="L1242" s="451"/>
    </row>
    <row r="1243" spans="3:12" x14ac:dyDescent="0.25">
      <c r="C1243" s="351" t="s">
        <v>66</v>
      </c>
      <c r="D1243" s="452" t="s">
        <v>498</v>
      </c>
      <c r="E1243" s="452"/>
      <c r="F1243" s="452"/>
      <c r="G1243" s="452"/>
      <c r="H1243" s="452"/>
      <c r="I1243" s="352" t="s">
        <v>499</v>
      </c>
      <c r="J1243" s="355" t="s">
        <v>500</v>
      </c>
      <c r="K1243" s="352" t="s">
        <v>501</v>
      </c>
      <c r="L1243" s="356" t="s">
        <v>502</v>
      </c>
    </row>
    <row r="1244" spans="3:12" x14ac:dyDescent="0.25">
      <c r="C1244" s="147"/>
      <c r="D1244" s="458"/>
      <c r="E1244" s="480"/>
      <c r="F1244" s="480"/>
      <c r="G1244" s="480"/>
      <c r="H1244" s="459"/>
      <c r="I1244" s="111"/>
      <c r="J1244" s="111"/>
      <c r="K1244" s="357"/>
      <c r="L1244" s="358"/>
    </row>
    <row r="1245" spans="3:12" x14ac:dyDescent="0.25">
      <c r="C1245" s="147"/>
      <c r="D1245" s="462"/>
      <c r="E1245" s="462"/>
      <c r="F1245" s="462"/>
      <c r="G1245" s="462"/>
      <c r="H1245" s="462"/>
      <c r="I1245" s="111"/>
      <c r="J1245" s="359"/>
      <c r="K1245" s="360"/>
      <c r="L1245" s="358"/>
    </row>
    <row r="1246" spans="3:12" x14ac:dyDescent="0.25">
      <c r="C1246" s="112"/>
      <c r="D1246" s="462" t="s">
        <v>503</v>
      </c>
      <c r="E1246" s="462"/>
      <c r="F1246" s="462"/>
      <c r="G1246" s="462"/>
      <c r="H1246" s="462"/>
      <c r="I1246" s="111" t="s">
        <v>61</v>
      </c>
      <c r="J1246" s="359">
        <v>1</v>
      </c>
      <c r="K1246" s="360">
        <f>L1266*0.1</f>
        <v>6203.1113670000013</v>
      </c>
      <c r="L1246" s="361">
        <f>K1246/J1246</f>
        <v>6203.1113670000013</v>
      </c>
    </row>
    <row r="1247" spans="3:12" ht="13.5" thickBot="1" x14ac:dyDescent="0.3">
      <c r="C1247" s="362"/>
      <c r="D1247" s="445" t="s">
        <v>504</v>
      </c>
      <c r="E1247" s="445"/>
      <c r="F1247" s="445"/>
      <c r="G1247" s="445"/>
      <c r="H1247" s="445"/>
      <c r="I1247" s="445"/>
      <c r="J1247" s="445"/>
      <c r="K1247" s="445"/>
      <c r="L1247" s="363">
        <f>SUM(L1244:L1246)</f>
        <v>6203.1113670000013</v>
      </c>
    </row>
    <row r="1248" spans="3:12" ht="13.5" thickBot="1" x14ac:dyDescent="0.3">
      <c r="C1248" s="455"/>
      <c r="D1248" s="456"/>
      <c r="E1248" s="456"/>
      <c r="F1248" s="456"/>
      <c r="G1248" s="456"/>
      <c r="H1248" s="456"/>
      <c r="I1248" s="456"/>
      <c r="J1248" s="456"/>
      <c r="K1248" s="456"/>
      <c r="L1248" s="457"/>
    </row>
    <row r="1249" spans="3:15" x14ac:dyDescent="0.25">
      <c r="C1249" s="449" t="s">
        <v>505</v>
      </c>
      <c r="D1249" s="450"/>
      <c r="E1249" s="450"/>
      <c r="F1249" s="450"/>
      <c r="G1249" s="450"/>
      <c r="H1249" s="450"/>
      <c r="I1249" s="450"/>
      <c r="J1249" s="450"/>
      <c r="K1249" s="450"/>
      <c r="L1249" s="451"/>
    </row>
    <row r="1250" spans="3:15" ht="25.5" x14ac:dyDescent="0.25">
      <c r="C1250" s="351" t="s">
        <v>66</v>
      </c>
      <c r="D1250" s="452" t="s">
        <v>498</v>
      </c>
      <c r="E1250" s="452"/>
      <c r="F1250" s="452"/>
      <c r="G1250" s="452"/>
      <c r="H1250" s="352" t="s">
        <v>499</v>
      </c>
      <c r="I1250" s="355" t="s">
        <v>506</v>
      </c>
      <c r="J1250" s="352" t="s">
        <v>501</v>
      </c>
      <c r="K1250" s="364" t="s">
        <v>507</v>
      </c>
      <c r="L1250" s="356" t="s">
        <v>502</v>
      </c>
    </row>
    <row r="1251" spans="3:15" ht="19.899999999999999" customHeight="1" x14ac:dyDescent="0.25">
      <c r="C1251" s="351"/>
      <c r="D1251" s="481"/>
      <c r="E1251" s="482"/>
      <c r="F1251" s="482"/>
      <c r="G1251" s="483"/>
      <c r="H1251" s="352"/>
      <c r="I1251" s="111"/>
      <c r="J1251" s="365"/>
      <c r="K1251" s="366"/>
      <c r="L1251" s="367">
        <f>I1251*J1251*(1+K1251)</f>
        <v>0</v>
      </c>
    </row>
    <row r="1252" spans="3:15" x14ac:dyDescent="0.25">
      <c r="C1252" s="113"/>
      <c r="D1252" s="484"/>
      <c r="E1252" s="484"/>
      <c r="F1252" s="484"/>
      <c r="G1252" s="484"/>
      <c r="H1252" s="368"/>
      <c r="I1252" s="369"/>
      <c r="J1252" s="370"/>
      <c r="K1252" s="371"/>
      <c r="L1252" s="361"/>
    </row>
    <row r="1253" spans="3:15" ht="13.5" thickBot="1" x14ac:dyDescent="0.3">
      <c r="C1253" s="372"/>
      <c r="D1253" s="445" t="s">
        <v>508</v>
      </c>
      <c r="E1253" s="445"/>
      <c r="F1253" s="445"/>
      <c r="G1253" s="445"/>
      <c r="H1253" s="445"/>
      <c r="I1253" s="445"/>
      <c r="J1253" s="445"/>
      <c r="K1253" s="445"/>
      <c r="L1253" s="363">
        <f>SUM(L1251:L1252)</f>
        <v>0</v>
      </c>
    </row>
    <row r="1254" spans="3:15" ht="13.5" thickBot="1" x14ac:dyDescent="0.3">
      <c r="C1254" s="446"/>
      <c r="D1254" s="447"/>
      <c r="E1254" s="447"/>
      <c r="F1254" s="447"/>
      <c r="G1254" s="447"/>
      <c r="H1254" s="447"/>
      <c r="I1254" s="447"/>
      <c r="J1254" s="447"/>
      <c r="K1254" s="447"/>
      <c r="L1254" s="448"/>
    </row>
    <row r="1255" spans="3:15" x14ac:dyDescent="0.25">
      <c r="C1255" s="449" t="s">
        <v>509</v>
      </c>
      <c r="D1255" s="450"/>
      <c r="E1255" s="450"/>
      <c r="F1255" s="450"/>
      <c r="G1255" s="450"/>
      <c r="H1255" s="450"/>
      <c r="I1255" s="450"/>
      <c r="J1255" s="450"/>
      <c r="K1255" s="450"/>
      <c r="L1255" s="451"/>
    </row>
    <row r="1256" spans="3:15" x14ac:dyDescent="0.25">
      <c r="C1256" s="351" t="s">
        <v>66</v>
      </c>
      <c r="D1256" s="452" t="s">
        <v>498</v>
      </c>
      <c r="E1256" s="452"/>
      <c r="F1256" s="452"/>
      <c r="G1256" s="452"/>
      <c r="H1256" s="352" t="s">
        <v>506</v>
      </c>
      <c r="I1256" s="352" t="s">
        <v>499</v>
      </c>
      <c r="J1256" s="355" t="s">
        <v>510</v>
      </c>
      <c r="K1256" s="364" t="s">
        <v>511</v>
      </c>
      <c r="L1256" s="356" t="s">
        <v>502</v>
      </c>
    </row>
    <row r="1257" spans="3:15" x14ac:dyDescent="0.25">
      <c r="C1257" s="113"/>
      <c r="D1257" s="453"/>
      <c r="E1257" s="453"/>
      <c r="F1257" s="453"/>
      <c r="G1257" s="453"/>
      <c r="H1257" s="111"/>
      <c r="I1257" s="368"/>
      <c r="J1257" s="368"/>
      <c r="K1257" s="373"/>
      <c r="L1257" s="374"/>
      <c r="O1257" s="119"/>
    </row>
    <row r="1258" spans="3:15" x14ac:dyDescent="0.25">
      <c r="C1258" s="113"/>
      <c r="D1258" s="454"/>
      <c r="E1258" s="454"/>
      <c r="F1258" s="454"/>
      <c r="G1258" s="454"/>
      <c r="H1258" s="111"/>
      <c r="I1258" s="368"/>
      <c r="J1258" s="368"/>
      <c r="K1258" s="373"/>
      <c r="L1258" s="374"/>
    </row>
    <row r="1259" spans="3:15" ht="13.5" thickBot="1" x14ac:dyDescent="0.3">
      <c r="C1259" s="362"/>
      <c r="D1259" s="445" t="s">
        <v>512</v>
      </c>
      <c r="E1259" s="445"/>
      <c r="F1259" s="445"/>
      <c r="G1259" s="445"/>
      <c r="H1259" s="445"/>
      <c r="I1259" s="445"/>
      <c r="J1259" s="445"/>
      <c r="K1259" s="445"/>
      <c r="L1259" s="375">
        <f>L1257</f>
        <v>0</v>
      </c>
    </row>
    <row r="1260" spans="3:15" ht="13.5" thickBot="1" x14ac:dyDescent="0.3">
      <c r="C1260" s="455"/>
      <c r="D1260" s="456"/>
      <c r="E1260" s="456"/>
      <c r="F1260" s="456"/>
      <c r="G1260" s="456"/>
      <c r="H1260" s="456"/>
      <c r="I1260" s="456"/>
      <c r="J1260" s="456"/>
      <c r="K1260" s="456"/>
      <c r="L1260" s="457"/>
      <c r="O1260" s="117">
        <v>4</v>
      </c>
    </row>
    <row r="1261" spans="3:15" x14ac:dyDescent="0.25">
      <c r="C1261" s="449" t="s">
        <v>513</v>
      </c>
      <c r="D1261" s="450"/>
      <c r="E1261" s="450"/>
      <c r="F1261" s="450"/>
      <c r="G1261" s="450"/>
      <c r="H1261" s="450"/>
      <c r="I1261" s="450"/>
      <c r="J1261" s="450"/>
      <c r="K1261" s="450"/>
      <c r="L1261" s="451"/>
    </row>
    <row r="1262" spans="3:15" x14ac:dyDescent="0.25">
      <c r="C1262" s="351" t="s">
        <v>66</v>
      </c>
      <c r="D1262" s="452" t="s">
        <v>498</v>
      </c>
      <c r="E1262" s="452"/>
      <c r="F1262" s="364" t="s">
        <v>499</v>
      </c>
      <c r="G1262" s="364" t="s">
        <v>506</v>
      </c>
      <c r="H1262" s="352" t="s">
        <v>514</v>
      </c>
      <c r="I1262" s="376" t="s">
        <v>515</v>
      </c>
      <c r="J1262" s="364" t="s">
        <v>516</v>
      </c>
      <c r="K1262" s="376" t="s">
        <v>517</v>
      </c>
      <c r="L1262" s="377" t="s">
        <v>502</v>
      </c>
    </row>
    <row r="1263" spans="3:15" x14ac:dyDescent="0.25">
      <c r="C1263" s="112" t="s">
        <v>519</v>
      </c>
      <c r="D1263" s="458" t="str">
        <f>'MANO DE OBRA'!$B$3</f>
        <v>Ayudante</v>
      </c>
      <c r="E1263" s="459"/>
      <c r="F1263" s="368" t="str">
        <f>'MANO DE OBRA'!$C$2</f>
        <v>DIA</v>
      </c>
      <c r="G1263" s="111">
        <v>2</v>
      </c>
      <c r="H1263" s="378">
        <f>'MANO DE OBRA'!$D$3</f>
        <v>28981.77</v>
      </c>
      <c r="I1263" s="379">
        <v>0.75649999999999995</v>
      </c>
      <c r="J1263" s="380">
        <f>(H1263+(H1263*I1263))</f>
        <v>50906.479005000001</v>
      </c>
      <c r="K1263" s="111">
        <v>3</v>
      </c>
      <c r="L1263" s="374">
        <f>G1263*(J1263/K1263)</f>
        <v>33937.652670000003</v>
      </c>
    </row>
    <row r="1264" spans="3:15" x14ac:dyDescent="0.25">
      <c r="C1264" s="79" t="s">
        <v>526</v>
      </c>
      <c r="D1264" s="460" t="str">
        <f>'MANO DE OBRA'!$B$2</f>
        <v>Oficial</v>
      </c>
      <c r="E1264" s="461"/>
      <c r="F1264" s="97" t="str">
        <f>'MANO DE OBRA'!$C$3</f>
        <v>DIA</v>
      </c>
      <c r="G1264" s="76">
        <v>1</v>
      </c>
      <c r="H1264" s="101">
        <f>'MANO DE OBRA'!$D$2</f>
        <v>47982</v>
      </c>
      <c r="I1264" s="102">
        <v>0.75649999999999995</v>
      </c>
      <c r="J1264" s="103">
        <f>(H1264+(H1264*I1264))</f>
        <v>84280.383000000002</v>
      </c>
      <c r="K1264" s="76">
        <v>3</v>
      </c>
      <c r="L1264" s="96">
        <f>G1264*(J1264/K1264)</f>
        <v>28093.460999999999</v>
      </c>
    </row>
    <row r="1265" spans="3:12" x14ac:dyDescent="0.25">
      <c r="C1265" s="113"/>
      <c r="D1265" s="462"/>
      <c r="E1265" s="462"/>
      <c r="F1265" s="368"/>
      <c r="G1265" s="111"/>
      <c r="H1265" s="378"/>
      <c r="I1265" s="379"/>
      <c r="J1265" s="380"/>
      <c r="K1265" s="111"/>
      <c r="L1265" s="374"/>
    </row>
    <row r="1266" spans="3:12" ht="13.5" thickBot="1" x14ac:dyDescent="0.3">
      <c r="C1266" s="362"/>
      <c r="D1266" s="445" t="s">
        <v>520</v>
      </c>
      <c r="E1266" s="445"/>
      <c r="F1266" s="445"/>
      <c r="G1266" s="445"/>
      <c r="H1266" s="445"/>
      <c r="I1266" s="445"/>
      <c r="J1266" s="445"/>
      <c r="K1266" s="445"/>
      <c r="L1266" s="375">
        <f>L1264+L1263</f>
        <v>62031.113670000006</v>
      </c>
    </row>
    <row r="1267" spans="3:12" ht="13.5" thickBot="1" x14ac:dyDescent="0.3">
      <c r="C1267" s="446"/>
      <c r="D1267" s="447"/>
      <c r="E1267" s="447"/>
      <c r="F1267" s="447"/>
      <c r="G1267" s="447"/>
      <c r="H1267" s="447"/>
      <c r="I1267" s="447"/>
      <c r="J1267" s="447"/>
      <c r="K1267" s="447"/>
      <c r="L1267" s="448"/>
    </row>
    <row r="1268" spans="3:12" ht="13.5" thickBot="1" x14ac:dyDescent="0.3">
      <c r="C1268" s="463" t="s">
        <v>521</v>
      </c>
      <c r="D1268" s="464"/>
      <c r="E1268" s="464"/>
      <c r="F1268" s="464"/>
      <c r="G1268" s="464"/>
      <c r="H1268" s="464"/>
      <c r="I1268" s="464"/>
      <c r="J1268" s="465"/>
      <c r="K1268" s="381">
        <f>ROUND(L1266+L1259+L1253+L1247,0)</f>
        <v>68234</v>
      </c>
      <c r="L1268" s="382"/>
    </row>
  </sheetData>
  <mergeCells count="1225">
    <mergeCell ref="D1219:K1219"/>
    <mergeCell ref="C1220:L1220"/>
    <mergeCell ref="C1221:L1221"/>
    <mergeCell ref="D1222:G1222"/>
    <mergeCell ref="D1223:G1223"/>
    <mergeCell ref="D1224:G1224"/>
    <mergeCell ref="D1225:K1225"/>
    <mergeCell ref="C1226:L1226"/>
    <mergeCell ref="C1227:L1227"/>
    <mergeCell ref="D1228:E1228"/>
    <mergeCell ref="D1229:E1229"/>
    <mergeCell ref="D1230:E1230"/>
    <mergeCell ref="D1231:E1231"/>
    <mergeCell ref="D1232:K1232"/>
    <mergeCell ref="C1233:L1233"/>
    <mergeCell ref="C1234:J1234"/>
    <mergeCell ref="C1203:L1203"/>
    <mergeCell ref="C1204:L1204"/>
    <mergeCell ref="C1205:C1206"/>
    <mergeCell ref="E1205:K1205"/>
    <mergeCell ref="E1206:K1206"/>
    <mergeCell ref="C1207:L1207"/>
    <mergeCell ref="C1208:L1208"/>
    <mergeCell ref="D1209:H1209"/>
    <mergeCell ref="D1210:H1210"/>
    <mergeCell ref="D1211:H1211"/>
    <mergeCell ref="D1212:H1212"/>
    <mergeCell ref="D1213:K1213"/>
    <mergeCell ref="C1214:L1214"/>
    <mergeCell ref="C1215:L1215"/>
    <mergeCell ref="D1216:G1216"/>
    <mergeCell ref="D1217:G1217"/>
    <mergeCell ref="D1218:G1218"/>
    <mergeCell ref="C14:L14"/>
    <mergeCell ref="C15:L15"/>
    <mergeCell ref="D16:G16"/>
    <mergeCell ref="D17:G17"/>
    <mergeCell ref="D18:G18"/>
    <mergeCell ref="D19:G19"/>
    <mergeCell ref="C8:L8"/>
    <mergeCell ref="D9:H9"/>
    <mergeCell ref="D10:H10"/>
    <mergeCell ref="D11:H11"/>
    <mergeCell ref="D12:H12"/>
    <mergeCell ref="D13:K13"/>
    <mergeCell ref="C3:L3"/>
    <mergeCell ref="C4:L4"/>
    <mergeCell ref="C5:C6"/>
    <mergeCell ref="E5:K5"/>
    <mergeCell ref="E6:K6"/>
    <mergeCell ref="C7:L7"/>
    <mergeCell ref="D32:E32"/>
    <mergeCell ref="D33:E33"/>
    <mergeCell ref="D34:E34"/>
    <mergeCell ref="D35:E35"/>
    <mergeCell ref="D36:K36"/>
    <mergeCell ref="C37:L37"/>
    <mergeCell ref="D26:G26"/>
    <mergeCell ref="D27:G27"/>
    <mergeCell ref="D28:G28"/>
    <mergeCell ref="D29:K29"/>
    <mergeCell ref="C30:L30"/>
    <mergeCell ref="C31:L31"/>
    <mergeCell ref="D20:G20"/>
    <mergeCell ref="D21:G21"/>
    <mergeCell ref="D22:K22"/>
    <mergeCell ref="C23:L23"/>
    <mergeCell ref="C24:L24"/>
    <mergeCell ref="D25:G25"/>
    <mergeCell ref="D51:K51"/>
    <mergeCell ref="C52:L52"/>
    <mergeCell ref="C53:L53"/>
    <mergeCell ref="D54:G54"/>
    <mergeCell ref="D55:G55"/>
    <mergeCell ref="D56:G56"/>
    <mergeCell ref="C45:L45"/>
    <mergeCell ref="C46:L46"/>
    <mergeCell ref="D47:H47"/>
    <mergeCell ref="D48:H48"/>
    <mergeCell ref="D49:H49"/>
    <mergeCell ref="D50:H50"/>
    <mergeCell ref="C38:J38"/>
    <mergeCell ref="C41:L41"/>
    <mergeCell ref="C42:L42"/>
    <mergeCell ref="C43:C44"/>
    <mergeCell ref="E43:K43"/>
    <mergeCell ref="E44:K44"/>
    <mergeCell ref="D69:E69"/>
    <mergeCell ref="D70:E70"/>
    <mergeCell ref="D71:E71"/>
    <mergeCell ref="D72:K72"/>
    <mergeCell ref="C73:L73"/>
    <mergeCell ref="C74:J74"/>
    <mergeCell ref="D63:G63"/>
    <mergeCell ref="D64:G64"/>
    <mergeCell ref="D65:K65"/>
    <mergeCell ref="C66:L66"/>
    <mergeCell ref="C67:L67"/>
    <mergeCell ref="D68:E68"/>
    <mergeCell ref="D57:G57"/>
    <mergeCell ref="D58:K58"/>
    <mergeCell ref="C59:L59"/>
    <mergeCell ref="C60:L60"/>
    <mergeCell ref="D61:G61"/>
    <mergeCell ref="D62:G62"/>
    <mergeCell ref="D88:K88"/>
    <mergeCell ref="C89:L89"/>
    <mergeCell ref="C90:L90"/>
    <mergeCell ref="D91:G91"/>
    <mergeCell ref="D92:G92"/>
    <mergeCell ref="D93:G93"/>
    <mergeCell ref="C82:L82"/>
    <mergeCell ref="D83:H83"/>
    <mergeCell ref="D84:H84"/>
    <mergeCell ref="D85:H85"/>
    <mergeCell ref="D86:H86"/>
    <mergeCell ref="D87:H87"/>
    <mergeCell ref="C77:L77"/>
    <mergeCell ref="C78:L78"/>
    <mergeCell ref="C79:C80"/>
    <mergeCell ref="E79:K79"/>
    <mergeCell ref="E80:K80"/>
    <mergeCell ref="C81:L81"/>
    <mergeCell ref="D106:E106"/>
    <mergeCell ref="D107:E107"/>
    <mergeCell ref="D108:K108"/>
    <mergeCell ref="C109:L109"/>
    <mergeCell ref="C110:J110"/>
    <mergeCell ref="C113:L113"/>
    <mergeCell ref="D100:G100"/>
    <mergeCell ref="D101:K101"/>
    <mergeCell ref="C102:L102"/>
    <mergeCell ref="C103:L103"/>
    <mergeCell ref="D104:E104"/>
    <mergeCell ref="D105:E105"/>
    <mergeCell ref="D94:K94"/>
    <mergeCell ref="C95:L95"/>
    <mergeCell ref="C96:L96"/>
    <mergeCell ref="D97:G97"/>
    <mergeCell ref="D98:G98"/>
    <mergeCell ref="D99:G99"/>
    <mergeCell ref="C125:L125"/>
    <mergeCell ref="C126:L126"/>
    <mergeCell ref="D127:G127"/>
    <mergeCell ref="D128:G128"/>
    <mergeCell ref="D129:G129"/>
    <mergeCell ref="D130:K130"/>
    <mergeCell ref="D119:H119"/>
    <mergeCell ref="D120:H120"/>
    <mergeCell ref="D121:H121"/>
    <mergeCell ref="D122:H122"/>
    <mergeCell ref="D123:H123"/>
    <mergeCell ref="D124:K124"/>
    <mergeCell ref="C114:L114"/>
    <mergeCell ref="C115:C116"/>
    <mergeCell ref="E115:K115"/>
    <mergeCell ref="E116:K116"/>
    <mergeCell ref="C117:L117"/>
    <mergeCell ref="C118:L118"/>
    <mergeCell ref="D143:E143"/>
    <mergeCell ref="D144:K144"/>
    <mergeCell ref="C145:L145"/>
    <mergeCell ref="C146:J146"/>
    <mergeCell ref="C149:L149"/>
    <mergeCell ref="C150:L150"/>
    <mergeCell ref="D137:K137"/>
    <mergeCell ref="C138:L138"/>
    <mergeCell ref="C139:L139"/>
    <mergeCell ref="D140:E140"/>
    <mergeCell ref="D141:E141"/>
    <mergeCell ref="D142:E142"/>
    <mergeCell ref="C131:L131"/>
    <mergeCell ref="C132:L132"/>
    <mergeCell ref="D133:G133"/>
    <mergeCell ref="D134:G134"/>
    <mergeCell ref="D135:G135"/>
    <mergeCell ref="D136:G136"/>
    <mergeCell ref="D162:G162"/>
    <mergeCell ref="D163:G163"/>
    <mergeCell ref="D164:G164"/>
    <mergeCell ref="D165:K165"/>
    <mergeCell ref="C166:L166"/>
    <mergeCell ref="C167:L167"/>
    <mergeCell ref="D156:H156"/>
    <mergeCell ref="D157:H157"/>
    <mergeCell ref="D158:H158"/>
    <mergeCell ref="D159:K159"/>
    <mergeCell ref="C160:L160"/>
    <mergeCell ref="C161:L161"/>
    <mergeCell ref="C151:C152"/>
    <mergeCell ref="E151:K151"/>
    <mergeCell ref="E152:K152"/>
    <mergeCell ref="C153:L153"/>
    <mergeCell ref="C154:L154"/>
    <mergeCell ref="D155:H155"/>
    <mergeCell ref="C180:J180"/>
    <mergeCell ref="C183:L183"/>
    <mergeCell ref="C184:L184"/>
    <mergeCell ref="C185:C186"/>
    <mergeCell ref="E185:K185"/>
    <mergeCell ref="E186:K186"/>
    <mergeCell ref="D174:E174"/>
    <mergeCell ref="D175:E175"/>
    <mergeCell ref="D176:E176"/>
    <mergeCell ref="D177:E177"/>
    <mergeCell ref="D178:K178"/>
    <mergeCell ref="C179:L179"/>
    <mergeCell ref="D168:G168"/>
    <mergeCell ref="D169:G169"/>
    <mergeCell ref="D170:G170"/>
    <mergeCell ref="D171:K171"/>
    <mergeCell ref="C172:L172"/>
    <mergeCell ref="C173:L173"/>
    <mergeCell ref="D199:K199"/>
    <mergeCell ref="C200:L200"/>
    <mergeCell ref="C201:L201"/>
    <mergeCell ref="D202:G202"/>
    <mergeCell ref="D203:G203"/>
    <mergeCell ref="D204:G204"/>
    <mergeCell ref="D193:K193"/>
    <mergeCell ref="C194:L194"/>
    <mergeCell ref="C195:L195"/>
    <mergeCell ref="D196:G196"/>
    <mergeCell ref="D197:G197"/>
    <mergeCell ref="D198:G198"/>
    <mergeCell ref="C187:L187"/>
    <mergeCell ref="C188:L188"/>
    <mergeCell ref="D189:H189"/>
    <mergeCell ref="D190:H190"/>
    <mergeCell ref="D191:H191"/>
    <mergeCell ref="D192:H192"/>
    <mergeCell ref="C219:L219"/>
    <mergeCell ref="C220:C221"/>
    <mergeCell ref="E220:K220"/>
    <mergeCell ref="E221:K221"/>
    <mergeCell ref="C222:L222"/>
    <mergeCell ref="C223:L223"/>
    <mergeCell ref="D211:E211"/>
    <mergeCell ref="D212:E212"/>
    <mergeCell ref="D213:K213"/>
    <mergeCell ref="C214:L214"/>
    <mergeCell ref="C215:J215"/>
    <mergeCell ref="C218:L218"/>
    <mergeCell ref="D205:G205"/>
    <mergeCell ref="D206:K206"/>
    <mergeCell ref="C207:L207"/>
    <mergeCell ref="C208:L208"/>
    <mergeCell ref="D209:E209"/>
    <mergeCell ref="D210:E210"/>
    <mergeCell ref="C236:L236"/>
    <mergeCell ref="C237:L237"/>
    <mergeCell ref="D238:G238"/>
    <mergeCell ref="D239:G239"/>
    <mergeCell ref="D240:G240"/>
    <mergeCell ref="D241:G241"/>
    <mergeCell ref="C230:L230"/>
    <mergeCell ref="D231:G231"/>
    <mergeCell ref="D232:G232"/>
    <mergeCell ref="D233:G233"/>
    <mergeCell ref="D234:G234"/>
    <mergeCell ref="D235:K235"/>
    <mergeCell ref="D224:H224"/>
    <mergeCell ref="D225:H225"/>
    <mergeCell ref="D226:H226"/>
    <mergeCell ref="D227:H227"/>
    <mergeCell ref="D228:K228"/>
    <mergeCell ref="C229:L229"/>
    <mergeCell ref="C256:C257"/>
    <mergeCell ref="E256:K256"/>
    <mergeCell ref="E257:K257"/>
    <mergeCell ref="C258:L258"/>
    <mergeCell ref="C259:L259"/>
    <mergeCell ref="D260:H260"/>
    <mergeCell ref="D248:E248"/>
    <mergeCell ref="D249:K249"/>
    <mergeCell ref="C250:L250"/>
    <mergeCell ref="C251:J251"/>
    <mergeCell ref="C254:L254"/>
    <mergeCell ref="C255:L255"/>
    <mergeCell ref="D242:K242"/>
    <mergeCell ref="C243:L243"/>
    <mergeCell ref="C244:L244"/>
    <mergeCell ref="D245:E245"/>
    <mergeCell ref="D246:E246"/>
    <mergeCell ref="D247:E247"/>
    <mergeCell ref="C273:L273"/>
    <mergeCell ref="D274:G274"/>
    <mergeCell ref="D275:G275"/>
    <mergeCell ref="D276:G276"/>
    <mergeCell ref="D277:G277"/>
    <mergeCell ref="D278:K278"/>
    <mergeCell ref="D267:G267"/>
    <mergeCell ref="D268:G268"/>
    <mergeCell ref="D269:G269"/>
    <mergeCell ref="D270:G270"/>
    <mergeCell ref="D271:K271"/>
    <mergeCell ref="C272:L272"/>
    <mergeCell ref="D261:H261"/>
    <mergeCell ref="D262:H262"/>
    <mergeCell ref="D263:H263"/>
    <mergeCell ref="D264:K264"/>
    <mergeCell ref="C265:L265"/>
    <mergeCell ref="C266:L266"/>
    <mergeCell ref="C294:L294"/>
    <mergeCell ref="C295:L295"/>
    <mergeCell ref="D296:H296"/>
    <mergeCell ref="D297:H297"/>
    <mergeCell ref="D298:K298"/>
    <mergeCell ref="C299:L299"/>
    <mergeCell ref="D285:K285"/>
    <mergeCell ref="C286:L286"/>
    <mergeCell ref="C287:J287"/>
    <mergeCell ref="C290:L290"/>
    <mergeCell ref="C291:L291"/>
    <mergeCell ref="C292:C293"/>
    <mergeCell ref="E292:K292"/>
    <mergeCell ref="E293:K293"/>
    <mergeCell ref="C279:L279"/>
    <mergeCell ref="C280:L280"/>
    <mergeCell ref="D281:E281"/>
    <mergeCell ref="D282:E282"/>
    <mergeCell ref="D283:E283"/>
    <mergeCell ref="D284:E284"/>
    <mergeCell ref="D312:G312"/>
    <mergeCell ref="D313:G313"/>
    <mergeCell ref="D314:G314"/>
    <mergeCell ref="D315:K315"/>
    <mergeCell ref="C316:L316"/>
    <mergeCell ref="C317:L317"/>
    <mergeCell ref="D306:G306"/>
    <mergeCell ref="D307:G307"/>
    <mergeCell ref="D308:K308"/>
    <mergeCell ref="C309:L309"/>
    <mergeCell ref="C310:L310"/>
    <mergeCell ref="D311:G311"/>
    <mergeCell ref="C300:L300"/>
    <mergeCell ref="D301:G301"/>
    <mergeCell ref="D302:G302"/>
    <mergeCell ref="D303:G303"/>
    <mergeCell ref="D304:G304"/>
    <mergeCell ref="D305:G305"/>
    <mergeCell ref="C331:L331"/>
    <mergeCell ref="C332:L332"/>
    <mergeCell ref="D333:H333"/>
    <mergeCell ref="D334:H334"/>
    <mergeCell ref="D335:H335"/>
    <mergeCell ref="D336:H336"/>
    <mergeCell ref="C324:J324"/>
    <mergeCell ref="C327:L327"/>
    <mergeCell ref="C328:L328"/>
    <mergeCell ref="C329:C330"/>
    <mergeCell ref="E329:K329"/>
    <mergeCell ref="E330:K330"/>
    <mergeCell ref="D318:E318"/>
    <mergeCell ref="D319:E319"/>
    <mergeCell ref="D320:E320"/>
    <mergeCell ref="D321:E321"/>
    <mergeCell ref="D322:K322"/>
    <mergeCell ref="C323:L323"/>
    <mergeCell ref="D349:G349"/>
    <mergeCell ref="D350:G350"/>
    <mergeCell ref="D351:K351"/>
    <mergeCell ref="C352:L352"/>
    <mergeCell ref="C353:L353"/>
    <mergeCell ref="D354:E354"/>
    <mergeCell ref="D343:G343"/>
    <mergeCell ref="D344:K344"/>
    <mergeCell ref="C345:L345"/>
    <mergeCell ref="C346:L346"/>
    <mergeCell ref="D347:G347"/>
    <mergeCell ref="D348:G348"/>
    <mergeCell ref="D337:K337"/>
    <mergeCell ref="C338:L338"/>
    <mergeCell ref="C339:L339"/>
    <mergeCell ref="D340:G340"/>
    <mergeCell ref="D341:G341"/>
    <mergeCell ref="D342:G342"/>
    <mergeCell ref="C368:L368"/>
    <mergeCell ref="D369:H369"/>
    <mergeCell ref="D370:H370"/>
    <mergeCell ref="D371:H371"/>
    <mergeCell ref="D372:H372"/>
    <mergeCell ref="D373:K373"/>
    <mergeCell ref="C363:L363"/>
    <mergeCell ref="C364:L364"/>
    <mergeCell ref="C365:C366"/>
    <mergeCell ref="E365:K365"/>
    <mergeCell ref="E366:K366"/>
    <mergeCell ref="C367:L367"/>
    <mergeCell ref="D355:E355"/>
    <mergeCell ref="D356:E356"/>
    <mergeCell ref="D357:E357"/>
    <mergeCell ref="D358:K358"/>
    <mergeCell ref="C359:L359"/>
    <mergeCell ref="C360:J360"/>
    <mergeCell ref="D386:G386"/>
    <mergeCell ref="D387:K387"/>
    <mergeCell ref="C388:L388"/>
    <mergeCell ref="C389:L389"/>
    <mergeCell ref="D390:E390"/>
    <mergeCell ref="D391:E391"/>
    <mergeCell ref="D380:K380"/>
    <mergeCell ref="C381:L381"/>
    <mergeCell ref="C382:L382"/>
    <mergeCell ref="D383:G383"/>
    <mergeCell ref="D384:G384"/>
    <mergeCell ref="D385:G385"/>
    <mergeCell ref="C374:L374"/>
    <mergeCell ref="C375:L375"/>
    <mergeCell ref="D376:G376"/>
    <mergeCell ref="D377:G377"/>
    <mergeCell ref="D378:G378"/>
    <mergeCell ref="D379:G379"/>
    <mergeCell ref="D405:H405"/>
    <mergeCell ref="D406:H406"/>
    <mergeCell ref="D407:H407"/>
    <mergeCell ref="D408:H408"/>
    <mergeCell ref="D409:K409"/>
    <mergeCell ref="C410:L410"/>
    <mergeCell ref="C400:L400"/>
    <mergeCell ref="C401:C402"/>
    <mergeCell ref="E401:K401"/>
    <mergeCell ref="E402:K402"/>
    <mergeCell ref="C403:L403"/>
    <mergeCell ref="C404:L404"/>
    <mergeCell ref="D392:E392"/>
    <mergeCell ref="D393:E393"/>
    <mergeCell ref="D394:K394"/>
    <mergeCell ref="C395:L395"/>
    <mergeCell ref="C396:J396"/>
    <mergeCell ref="C399:L399"/>
    <mergeCell ref="D423:K423"/>
    <mergeCell ref="C424:L424"/>
    <mergeCell ref="C425:L425"/>
    <mergeCell ref="D426:E426"/>
    <mergeCell ref="D427:E427"/>
    <mergeCell ref="D428:E428"/>
    <mergeCell ref="C417:L417"/>
    <mergeCell ref="C418:L418"/>
    <mergeCell ref="D419:G419"/>
    <mergeCell ref="D420:G420"/>
    <mergeCell ref="D421:G421"/>
    <mergeCell ref="D422:G422"/>
    <mergeCell ref="C411:L411"/>
    <mergeCell ref="D412:G412"/>
    <mergeCell ref="D413:G413"/>
    <mergeCell ref="D414:G414"/>
    <mergeCell ref="D415:G415"/>
    <mergeCell ref="D416:K416"/>
    <mergeCell ref="D442:H442"/>
    <mergeCell ref="D443:H443"/>
    <mergeCell ref="D444:H444"/>
    <mergeCell ref="D445:K445"/>
    <mergeCell ref="C446:L446"/>
    <mergeCell ref="C447:L447"/>
    <mergeCell ref="C437:C438"/>
    <mergeCell ref="E437:K437"/>
    <mergeCell ref="E438:K438"/>
    <mergeCell ref="C439:L439"/>
    <mergeCell ref="C440:L440"/>
    <mergeCell ref="D441:H441"/>
    <mergeCell ref="D429:E429"/>
    <mergeCell ref="D430:K430"/>
    <mergeCell ref="C431:L431"/>
    <mergeCell ref="C432:J432"/>
    <mergeCell ref="C435:L435"/>
    <mergeCell ref="C436:L436"/>
    <mergeCell ref="C460:L460"/>
    <mergeCell ref="C461:L461"/>
    <mergeCell ref="D462:E462"/>
    <mergeCell ref="D463:E463"/>
    <mergeCell ref="D464:E464"/>
    <mergeCell ref="D465:E465"/>
    <mergeCell ref="C454:L454"/>
    <mergeCell ref="D455:G455"/>
    <mergeCell ref="D456:G456"/>
    <mergeCell ref="D457:G457"/>
    <mergeCell ref="D458:G458"/>
    <mergeCell ref="D459:K459"/>
    <mergeCell ref="D448:G448"/>
    <mergeCell ref="D449:G449"/>
    <mergeCell ref="D450:G450"/>
    <mergeCell ref="D451:G451"/>
    <mergeCell ref="D452:K452"/>
    <mergeCell ref="C453:L453"/>
    <mergeCell ref="D481:K481"/>
    <mergeCell ref="C482:L482"/>
    <mergeCell ref="C483:L483"/>
    <mergeCell ref="D484:G484"/>
    <mergeCell ref="D485:G485"/>
    <mergeCell ref="C475:L475"/>
    <mergeCell ref="C476:L476"/>
    <mergeCell ref="D477:H477"/>
    <mergeCell ref="D478:H478"/>
    <mergeCell ref="D479:H479"/>
    <mergeCell ref="D480:H480"/>
    <mergeCell ref="D466:K466"/>
    <mergeCell ref="C467:L467"/>
    <mergeCell ref="C468:J468"/>
    <mergeCell ref="C471:L471"/>
    <mergeCell ref="C472:L472"/>
    <mergeCell ref="C473:C474"/>
    <mergeCell ref="E473:K473"/>
    <mergeCell ref="E474:K474"/>
    <mergeCell ref="D497:E497"/>
    <mergeCell ref="D498:E498"/>
    <mergeCell ref="D499:E499"/>
    <mergeCell ref="D500:K500"/>
    <mergeCell ref="C501:L501"/>
    <mergeCell ref="C502:J502"/>
    <mergeCell ref="D492:G492"/>
    <mergeCell ref="D493:K493"/>
    <mergeCell ref="C494:L494"/>
    <mergeCell ref="C495:L495"/>
    <mergeCell ref="D496:E496"/>
    <mergeCell ref="D486:G486"/>
    <mergeCell ref="D487:K487"/>
    <mergeCell ref="C488:L488"/>
    <mergeCell ref="C489:L489"/>
    <mergeCell ref="D490:G490"/>
    <mergeCell ref="D491:G491"/>
    <mergeCell ref="C516:L516"/>
    <mergeCell ref="C517:L517"/>
    <mergeCell ref="D518:G518"/>
    <mergeCell ref="D519:G519"/>
    <mergeCell ref="D520:G520"/>
    <mergeCell ref="C510:L510"/>
    <mergeCell ref="D511:H511"/>
    <mergeCell ref="D512:H512"/>
    <mergeCell ref="D513:H513"/>
    <mergeCell ref="D514:H514"/>
    <mergeCell ref="D515:K515"/>
    <mergeCell ref="C505:L505"/>
    <mergeCell ref="C506:L506"/>
    <mergeCell ref="C507:C508"/>
    <mergeCell ref="E507:K507"/>
    <mergeCell ref="E508:K508"/>
    <mergeCell ref="C509:L509"/>
    <mergeCell ref="D532:E532"/>
    <mergeCell ref="D533:E533"/>
    <mergeCell ref="D534:K534"/>
    <mergeCell ref="C535:L535"/>
    <mergeCell ref="C536:J536"/>
    <mergeCell ref="D526:G526"/>
    <mergeCell ref="D527:K527"/>
    <mergeCell ref="C528:L528"/>
    <mergeCell ref="C529:L529"/>
    <mergeCell ref="D530:E530"/>
    <mergeCell ref="D531:E531"/>
    <mergeCell ref="D521:K521"/>
    <mergeCell ref="C522:L522"/>
    <mergeCell ref="C523:L523"/>
    <mergeCell ref="D524:G524"/>
    <mergeCell ref="D525:G525"/>
    <mergeCell ref="C613:L613"/>
    <mergeCell ref="D557:K557"/>
    <mergeCell ref="C558:L558"/>
    <mergeCell ref="C559:L559"/>
    <mergeCell ref="D560:G560"/>
    <mergeCell ref="D561:G561"/>
    <mergeCell ref="D562:G562"/>
    <mergeCell ref="D563:K563"/>
    <mergeCell ref="C564:L564"/>
    <mergeCell ref="C565:L565"/>
    <mergeCell ref="D566:E566"/>
    <mergeCell ref="D567:E567"/>
    <mergeCell ref="D568:E568"/>
    <mergeCell ref="D591:K591"/>
    <mergeCell ref="C592:L592"/>
    <mergeCell ref="C593:L593"/>
    <mergeCell ref="C614:L614"/>
    <mergeCell ref="D615:H615"/>
    <mergeCell ref="D616:H616"/>
    <mergeCell ref="D617:H617"/>
    <mergeCell ref="D618:H618"/>
    <mergeCell ref="C609:L609"/>
    <mergeCell ref="C610:L610"/>
    <mergeCell ref="C611:C612"/>
    <mergeCell ref="E611:K611"/>
    <mergeCell ref="E612:K612"/>
    <mergeCell ref="C541:L541"/>
    <mergeCell ref="C542:L542"/>
    <mergeCell ref="C543:C544"/>
    <mergeCell ref="E543:K543"/>
    <mergeCell ref="E544:K544"/>
    <mergeCell ref="C545:L545"/>
    <mergeCell ref="C546:L546"/>
    <mergeCell ref="D547:H547"/>
    <mergeCell ref="D548:H548"/>
    <mergeCell ref="D549:H549"/>
    <mergeCell ref="D550:H550"/>
    <mergeCell ref="D551:K551"/>
    <mergeCell ref="D590:G590"/>
    <mergeCell ref="D569:E569"/>
    <mergeCell ref="D570:K570"/>
    <mergeCell ref="C571:L571"/>
    <mergeCell ref="C572:J572"/>
    <mergeCell ref="C552:L552"/>
    <mergeCell ref="C553:L553"/>
    <mergeCell ref="D554:G554"/>
    <mergeCell ref="D555:G555"/>
    <mergeCell ref="D556:G556"/>
    <mergeCell ref="D631:G631"/>
    <mergeCell ref="D632:G632"/>
    <mergeCell ref="D633:G633"/>
    <mergeCell ref="D634:K634"/>
    <mergeCell ref="C635:L635"/>
    <mergeCell ref="C636:L636"/>
    <mergeCell ref="D625:G625"/>
    <mergeCell ref="D626:G626"/>
    <mergeCell ref="D627:K627"/>
    <mergeCell ref="C628:L628"/>
    <mergeCell ref="C629:L629"/>
    <mergeCell ref="D630:G630"/>
    <mergeCell ref="D619:K619"/>
    <mergeCell ref="C620:L620"/>
    <mergeCell ref="C621:L621"/>
    <mergeCell ref="D622:G622"/>
    <mergeCell ref="D623:G623"/>
    <mergeCell ref="D624:G624"/>
    <mergeCell ref="C650:L650"/>
    <mergeCell ref="C651:L651"/>
    <mergeCell ref="D652:H652"/>
    <mergeCell ref="D653:H653"/>
    <mergeCell ref="D654:H654"/>
    <mergeCell ref="D655:H655"/>
    <mergeCell ref="C643:J643"/>
    <mergeCell ref="C646:L646"/>
    <mergeCell ref="C647:L647"/>
    <mergeCell ref="C648:C649"/>
    <mergeCell ref="E648:K648"/>
    <mergeCell ref="E649:K649"/>
    <mergeCell ref="D637:E637"/>
    <mergeCell ref="D638:E638"/>
    <mergeCell ref="D639:E639"/>
    <mergeCell ref="D640:E640"/>
    <mergeCell ref="D641:K641"/>
    <mergeCell ref="C642:L642"/>
    <mergeCell ref="D668:G668"/>
    <mergeCell ref="D669:G669"/>
    <mergeCell ref="D670:G670"/>
    <mergeCell ref="D671:K671"/>
    <mergeCell ref="C672:L672"/>
    <mergeCell ref="C673:L673"/>
    <mergeCell ref="D662:G662"/>
    <mergeCell ref="D663:G663"/>
    <mergeCell ref="D664:K664"/>
    <mergeCell ref="C665:L665"/>
    <mergeCell ref="C666:L666"/>
    <mergeCell ref="D667:G667"/>
    <mergeCell ref="D656:K656"/>
    <mergeCell ref="C657:L657"/>
    <mergeCell ref="C658:L658"/>
    <mergeCell ref="D659:G659"/>
    <mergeCell ref="D660:G660"/>
    <mergeCell ref="D661:G661"/>
    <mergeCell ref="C687:L687"/>
    <mergeCell ref="C688:L688"/>
    <mergeCell ref="D689:H689"/>
    <mergeCell ref="D690:H690"/>
    <mergeCell ref="D691:H691"/>
    <mergeCell ref="D692:H692"/>
    <mergeCell ref="C680:J680"/>
    <mergeCell ref="C683:L683"/>
    <mergeCell ref="C684:L684"/>
    <mergeCell ref="C685:C686"/>
    <mergeCell ref="E685:K685"/>
    <mergeCell ref="E686:K686"/>
    <mergeCell ref="D674:E674"/>
    <mergeCell ref="D675:E675"/>
    <mergeCell ref="D676:E676"/>
    <mergeCell ref="D677:E677"/>
    <mergeCell ref="D678:K678"/>
    <mergeCell ref="C679:L679"/>
    <mergeCell ref="D705:G705"/>
    <mergeCell ref="D706:G706"/>
    <mergeCell ref="D707:G707"/>
    <mergeCell ref="D708:K708"/>
    <mergeCell ref="C709:L709"/>
    <mergeCell ref="C710:L710"/>
    <mergeCell ref="D699:G699"/>
    <mergeCell ref="D700:G700"/>
    <mergeCell ref="D701:K701"/>
    <mergeCell ref="C702:L702"/>
    <mergeCell ref="C703:L703"/>
    <mergeCell ref="D704:G704"/>
    <mergeCell ref="D693:K693"/>
    <mergeCell ref="C694:L694"/>
    <mergeCell ref="C695:L695"/>
    <mergeCell ref="D696:G696"/>
    <mergeCell ref="D697:G697"/>
    <mergeCell ref="D698:G698"/>
    <mergeCell ref="C724:L724"/>
    <mergeCell ref="C725:L725"/>
    <mergeCell ref="D726:H726"/>
    <mergeCell ref="D727:H727"/>
    <mergeCell ref="D728:H728"/>
    <mergeCell ref="D729:H729"/>
    <mergeCell ref="C717:J717"/>
    <mergeCell ref="C720:L720"/>
    <mergeCell ref="C721:L721"/>
    <mergeCell ref="C722:C723"/>
    <mergeCell ref="E722:K722"/>
    <mergeCell ref="E723:K723"/>
    <mergeCell ref="D711:E711"/>
    <mergeCell ref="D712:E712"/>
    <mergeCell ref="D713:E713"/>
    <mergeCell ref="D714:E714"/>
    <mergeCell ref="D715:K715"/>
    <mergeCell ref="C716:L716"/>
    <mergeCell ref="D742:G742"/>
    <mergeCell ref="D743:G743"/>
    <mergeCell ref="D744:G744"/>
    <mergeCell ref="D745:K745"/>
    <mergeCell ref="C746:L746"/>
    <mergeCell ref="C747:L747"/>
    <mergeCell ref="D736:G736"/>
    <mergeCell ref="D737:G737"/>
    <mergeCell ref="D738:K738"/>
    <mergeCell ref="C739:L739"/>
    <mergeCell ref="C740:L740"/>
    <mergeCell ref="D741:G741"/>
    <mergeCell ref="D730:K730"/>
    <mergeCell ref="C731:L731"/>
    <mergeCell ref="C732:L732"/>
    <mergeCell ref="D733:G733"/>
    <mergeCell ref="D734:G734"/>
    <mergeCell ref="D735:G735"/>
    <mergeCell ref="C761:L761"/>
    <mergeCell ref="C762:L762"/>
    <mergeCell ref="D763:H763"/>
    <mergeCell ref="D764:H764"/>
    <mergeCell ref="D765:H765"/>
    <mergeCell ref="D766:H766"/>
    <mergeCell ref="C754:J754"/>
    <mergeCell ref="C757:L757"/>
    <mergeCell ref="C758:L758"/>
    <mergeCell ref="C759:C760"/>
    <mergeCell ref="E759:K759"/>
    <mergeCell ref="E760:K760"/>
    <mergeCell ref="D748:E748"/>
    <mergeCell ref="D749:E749"/>
    <mergeCell ref="D750:E750"/>
    <mergeCell ref="D751:E751"/>
    <mergeCell ref="D752:K752"/>
    <mergeCell ref="C753:L753"/>
    <mergeCell ref="D779:G779"/>
    <mergeCell ref="D780:G780"/>
    <mergeCell ref="D781:G781"/>
    <mergeCell ref="D782:K782"/>
    <mergeCell ref="C783:L783"/>
    <mergeCell ref="C784:L784"/>
    <mergeCell ref="D773:G773"/>
    <mergeCell ref="D774:G774"/>
    <mergeCell ref="D775:K775"/>
    <mergeCell ref="C776:L776"/>
    <mergeCell ref="C777:L777"/>
    <mergeCell ref="D778:G778"/>
    <mergeCell ref="D767:K767"/>
    <mergeCell ref="C768:L768"/>
    <mergeCell ref="C769:L769"/>
    <mergeCell ref="D770:G770"/>
    <mergeCell ref="D771:G771"/>
    <mergeCell ref="D772:G772"/>
    <mergeCell ref="C798:L798"/>
    <mergeCell ref="C799:L799"/>
    <mergeCell ref="D800:H800"/>
    <mergeCell ref="D801:H801"/>
    <mergeCell ref="D802:H802"/>
    <mergeCell ref="D803:H803"/>
    <mergeCell ref="C791:J791"/>
    <mergeCell ref="C794:L794"/>
    <mergeCell ref="C795:L795"/>
    <mergeCell ref="C796:C797"/>
    <mergeCell ref="E796:K796"/>
    <mergeCell ref="E797:K797"/>
    <mergeCell ref="D785:E785"/>
    <mergeCell ref="D786:E786"/>
    <mergeCell ref="D787:E787"/>
    <mergeCell ref="D788:E788"/>
    <mergeCell ref="D789:K789"/>
    <mergeCell ref="C790:L790"/>
    <mergeCell ref="D816:G816"/>
    <mergeCell ref="D817:G817"/>
    <mergeCell ref="D818:G818"/>
    <mergeCell ref="D819:K819"/>
    <mergeCell ref="C820:L820"/>
    <mergeCell ref="C821:L821"/>
    <mergeCell ref="D810:G810"/>
    <mergeCell ref="D811:G811"/>
    <mergeCell ref="D812:K812"/>
    <mergeCell ref="C813:L813"/>
    <mergeCell ref="C814:L814"/>
    <mergeCell ref="D815:G815"/>
    <mergeCell ref="D804:K804"/>
    <mergeCell ref="C805:L805"/>
    <mergeCell ref="C806:L806"/>
    <mergeCell ref="D807:G807"/>
    <mergeCell ref="D808:G808"/>
    <mergeCell ref="D809:G809"/>
    <mergeCell ref="C835:L835"/>
    <mergeCell ref="C836:L836"/>
    <mergeCell ref="D837:H837"/>
    <mergeCell ref="D838:H838"/>
    <mergeCell ref="D839:H839"/>
    <mergeCell ref="D840:H840"/>
    <mergeCell ref="C828:J828"/>
    <mergeCell ref="C831:L831"/>
    <mergeCell ref="C832:L832"/>
    <mergeCell ref="C833:C834"/>
    <mergeCell ref="E833:K833"/>
    <mergeCell ref="E834:K834"/>
    <mergeCell ref="D822:E822"/>
    <mergeCell ref="D823:E823"/>
    <mergeCell ref="D824:E824"/>
    <mergeCell ref="D825:E825"/>
    <mergeCell ref="D826:K826"/>
    <mergeCell ref="C827:L827"/>
    <mergeCell ref="D853:G853"/>
    <mergeCell ref="D854:G854"/>
    <mergeCell ref="D855:G855"/>
    <mergeCell ref="D856:K856"/>
    <mergeCell ref="C857:L857"/>
    <mergeCell ref="C858:L858"/>
    <mergeCell ref="D847:G847"/>
    <mergeCell ref="D848:G848"/>
    <mergeCell ref="D849:K849"/>
    <mergeCell ref="C850:L850"/>
    <mergeCell ref="C851:L851"/>
    <mergeCell ref="D852:G852"/>
    <mergeCell ref="D841:K841"/>
    <mergeCell ref="C842:L842"/>
    <mergeCell ref="C843:L843"/>
    <mergeCell ref="D844:G844"/>
    <mergeCell ref="D845:G845"/>
    <mergeCell ref="D846:G846"/>
    <mergeCell ref="C872:L872"/>
    <mergeCell ref="C873:L873"/>
    <mergeCell ref="D874:H874"/>
    <mergeCell ref="D875:H875"/>
    <mergeCell ref="D876:H876"/>
    <mergeCell ref="D877:H877"/>
    <mergeCell ref="C865:J865"/>
    <mergeCell ref="C868:L868"/>
    <mergeCell ref="C869:L869"/>
    <mergeCell ref="C870:C871"/>
    <mergeCell ref="E870:K870"/>
    <mergeCell ref="E871:K871"/>
    <mergeCell ref="D859:E859"/>
    <mergeCell ref="D860:E860"/>
    <mergeCell ref="D861:E861"/>
    <mergeCell ref="D862:E862"/>
    <mergeCell ref="D863:K863"/>
    <mergeCell ref="C864:L864"/>
    <mergeCell ref="D890:G890"/>
    <mergeCell ref="D891:G891"/>
    <mergeCell ref="D892:G892"/>
    <mergeCell ref="D893:K893"/>
    <mergeCell ref="C894:L894"/>
    <mergeCell ref="C895:L895"/>
    <mergeCell ref="D884:G884"/>
    <mergeCell ref="D885:G885"/>
    <mergeCell ref="D886:K886"/>
    <mergeCell ref="C887:L887"/>
    <mergeCell ref="C888:L888"/>
    <mergeCell ref="D889:G889"/>
    <mergeCell ref="D878:K878"/>
    <mergeCell ref="C879:L879"/>
    <mergeCell ref="C880:L880"/>
    <mergeCell ref="D881:G881"/>
    <mergeCell ref="D882:G882"/>
    <mergeCell ref="D883:G883"/>
    <mergeCell ref="C909:L909"/>
    <mergeCell ref="C910:L910"/>
    <mergeCell ref="D911:H911"/>
    <mergeCell ref="D912:H912"/>
    <mergeCell ref="D913:H913"/>
    <mergeCell ref="D914:H914"/>
    <mergeCell ref="C902:J902"/>
    <mergeCell ref="C905:L905"/>
    <mergeCell ref="C906:L906"/>
    <mergeCell ref="C907:C908"/>
    <mergeCell ref="E907:K907"/>
    <mergeCell ref="E908:K908"/>
    <mergeCell ref="D896:E896"/>
    <mergeCell ref="D897:E897"/>
    <mergeCell ref="D898:E898"/>
    <mergeCell ref="D899:E899"/>
    <mergeCell ref="D900:K900"/>
    <mergeCell ref="C901:L901"/>
    <mergeCell ref="D927:G927"/>
    <mergeCell ref="D928:G928"/>
    <mergeCell ref="D929:G929"/>
    <mergeCell ref="D930:K930"/>
    <mergeCell ref="C931:L931"/>
    <mergeCell ref="C932:L932"/>
    <mergeCell ref="D921:G921"/>
    <mergeCell ref="D922:G922"/>
    <mergeCell ref="D923:K923"/>
    <mergeCell ref="C924:L924"/>
    <mergeCell ref="C925:L925"/>
    <mergeCell ref="D926:G926"/>
    <mergeCell ref="D915:K915"/>
    <mergeCell ref="C916:L916"/>
    <mergeCell ref="C917:L917"/>
    <mergeCell ref="D918:G918"/>
    <mergeCell ref="D919:G919"/>
    <mergeCell ref="D920:G920"/>
    <mergeCell ref="C946:L946"/>
    <mergeCell ref="C947:L947"/>
    <mergeCell ref="D948:H948"/>
    <mergeCell ref="D949:H949"/>
    <mergeCell ref="D950:H950"/>
    <mergeCell ref="D951:H951"/>
    <mergeCell ref="C939:J939"/>
    <mergeCell ref="C942:L942"/>
    <mergeCell ref="C943:L943"/>
    <mergeCell ref="C944:C945"/>
    <mergeCell ref="E944:K944"/>
    <mergeCell ref="E945:K945"/>
    <mergeCell ref="D933:E933"/>
    <mergeCell ref="D934:E934"/>
    <mergeCell ref="D935:E935"/>
    <mergeCell ref="D936:E936"/>
    <mergeCell ref="D937:K937"/>
    <mergeCell ref="C938:L938"/>
    <mergeCell ref="D964:G964"/>
    <mergeCell ref="D965:G965"/>
    <mergeCell ref="D966:G966"/>
    <mergeCell ref="D967:K967"/>
    <mergeCell ref="C968:L968"/>
    <mergeCell ref="C969:L969"/>
    <mergeCell ref="D958:G958"/>
    <mergeCell ref="D959:G959"/>
    <mergeCell ref="D960:K960"/>
    <mergeCell ref="C961:L961"/>
    <mergeCell ref="C962:L962"/>
    <mergeCell ref="D963:G963"/>
    <mergeCell ref="D952:K952"/>
    <mergeCell ref="C953:L953"/>
    <mergeCell ref="C954:L954"/>
    <mergeCell ref="D955:G955"/>
    <mergeCell ref="D956:G956"/>
    <mergeCell ref="D957:G957"/>
    <mergeCell ref="C983:L983"/>
    <mergeCell ref="C984:L984"/>
    <mergeCell ref="D985:H985"/>
    <mergeCell ref="D986:H986"/>
    <mergeCell ref="D987:H987"/>
    <mergeCell ref="D988:H988"/>
    <mergeCell ref="C976:J976"/>
    <mergeCell ref="C979:L979"/>
    <mergeCell ref="C980:L980"/>
    <mergeCell ref="C981:C982"/>
    <mergeCell ref="E981:K981"/>
    <mergeCell ref="E982:K982"/>
    <mergeCell ref="D970:E970"/>
    <mergeCell ref="D971:E971"/>
    <mergeCell ref="D972:E972"/>
    <mergeCell ref="D973:E973"/>
    <mergeCell ref="D974:K974"/>
    <mergeCell ref="C975:L975"/>
    <mergeCell ref="D1001:G1001"/>
    <mergeCell ref="D1002:G1002"/>
    <mergeCell ref="D1003:G1003"/>
    <mergeCell ref="D1004:K1004"/>
    <mergeCell ref="C1005:L1005"/>
    <mergeCell ref="C1006:L1006"/>
    <mergeCell ref="D995:G995"/>
    <mergeCell ref="D996:G996"/>
    <mergeCell ref="D997:K997"/>
    <mergeCell ref="C998:L998"/>
    <mergeCell ref="C999:L999"/>
    <mergeCell ref="D1000:G1000"/>
    <mergeCell ref="D989:K989"/>
    <mergeCell ref="C990:L990"/>
    <mergeCell ref="C991:L991"/>
    <mergeCell ref="D992:G992"/>
    <mergeCell ref="D993:G993"/>
    <mergeCell ref="D994:G994"/>
    <mergeCell ref="C1020:L1020"/>
    <mergeCell ref="C1021:L1021"/>
    <mergeCell ref="D1022:H1022"/>
    <mergeCell ref="D1023:H1023"/>
    <mergeCell ref="D1024:H1024"/>
    <mergeCell ref="D1025:H1025"/>
    <mergeCell ref="C1013:J1013"/>
    <mergeCell ref="C1016:L1016"/>
    <mergeCell ref="C1017:L1017"/>
    <mergeCell ref="C1018:C1019"/>
    <mergeCell ref="E1018:K1018"/>
    <mergeCell ref="E1019:K1019"/>
    <mergeCell ref="D1007:E1007"/>
    <mergeCell ref="D1008:E1008"/>
    <mergeCell ref="D1009:E1009"/>
    <mergeCell ref="D1010:E1010"/>
    <mergeCell ref="D1011:K1011"/>
    <mergeCell ref="C1012:L1012"/>
    <mergeCell ref="D1038:G1038"/>
    <mergeCell ref="D1039:G1039"/>
    <mergeCell ref="D1040:G1040"/>
    <mergeCell ref="D1041:K1041"/>
    <mergeCell ref="C1042:L1042"/>
    <mergeCell ref="C1043:L1043"/>
    <mergeCell ref="D1032:G1032"/>
    <mergeCell ref="D1033:G1033"/>
    <mergeCell ref="D1034:K1034"/>
    <mergeCell ref="C1035:L1035"/>
    <mergeCell ref="C1036:L1036"/>
    <mergeCell ref="D1037:G1037"/>
    <mergeCell ref="D1026:K1026"/>
    <mergeCell ref="C1027:L1027"/>
    <mergeCell ref="C1028:L1028"/>
    <mergeCell ref="D1029:G1029"/>
    <mergeCell ref="D1030:G1030"/>
    <mergeCell ref="D1031:G1031"/>
    <mergeCell ref="C1057:L1057"/>
    <mergeCell ref="C1058:L1058"/>
    <mergeCell ref="D1059:H1059"/>
    <mergeCell ref="D1060:H1060"/>
    <mergeCell ref="D1061:H1061"/>
    <mergeCell ref="D1062:H1062"/>
    <mergeCell ref="C1050:J1050"/>
    <mergeCell ref="C1053:L1053"/>
    <mergeCell ref="C1054:L1054"/>
    <mergeCell ref="C1055:C1056"/>
    <mergeCell ref="E1055:K1055"/>
    <mergeCell ref="E1056:K1056"/>
    <mergeCell ref="D1044:E1044"/>
    <mergeCell ref="D1045:E1045"/>
    <mergeCell ref="D1046:E1046"/>
    <mergeCell ref="D1047:E1047"/>
    <mergeCell ref="D1048:K1048"/>
    <mergeCell ref="C1049:L1049"/>
    <mergeCell ref="D1075:G1075"/>
    <mergeCell ref="D1076:G1076"/>
    <mergeCell ref="D1077:G1077"/>
    <mergeCell ref="D1078:K1078"/>
    <mergeCell ref="C1079:L1079"/>
    <mergeCell ref="C1080:L1080"/>
    <mergeCell ref="D1069:G1069"/>
    <mergeCell ref="D1070:G1070"/>
    <mergeCell ref="D1071:K1071"/>
    <mergeCell ref="C1072:L1072"/>
    <mergeCell ref="C1073:L1073"/>
    <mergeCell ref="D1074:G1074"/>
    <mergeCell ref="D1063:K1063"/>
    <mergeCell ref="C1064:L1064"/>
    <mergeCell ref="C1065:L1065"/>
    <mergeCell ref="D1066:G1066"/>
    <mergeCell ref="D1067:G1067"/>
    <mergeCell ref="D1068:G1068"/>
    <mergeCell ref="C1094:L1094"/>
    <mergeCell ref="C1095:L1095"/>
    <mergeCell ref="D1096:H1096"/>
    <mergeCell ref="D1097:H1097"/>
    <mergeCell ref="D1098:H1098"/>
    <mergeCell ref="D1099:H1099"/>
    <mergeCell ref="C1087:J1087"/>
    <mergeCell ref="C1090:L1090"/>
    <mergeCell ref="C1091:L1091"/>
    <mergeCell ref="C1092:C1093"/>
    <mergeCell ref="E1092:K1092"/>
    <mergeCell ref="E1093:K1093"/>
    <mergeCell ref="D1081:E1081"/>
    <mergeCell ref="D1082:E1082"/>
    <mergeCell ref="D1083:E1083"/>
    <mergeCell ref="D1084:E1084"/>
    <mergeCell ref="D1085:K1085"/>
    <mergeCell ref="C1086:L1086"/>
    <mergeCell ref="D1112:G1112"/>
    <mergeCell ref="D1113:G1113"/>
    <mergeCell ref="D1114:G1114"/>
    <mergeCell ref="D1115:K1115"/>
    <mergeCell ref="C1116:L1116"/>
    <mergeCell ref="C1117:L1117"/>
    <mergeCell ref="D1106:G1106"/>
    <mergeCell ref="D1107:G1107"/>
    <mergeCell ref="D1108:K1108"/>
    <mergeCell ref="C1109:L1109"/>
    <mergeCell ref="C1110:L1110"/>
    <mergeCell ref="D1111:G1111"/>
    <mergeCell ref="D1100:K1100"/>
    <mergeCell ref="C1101:L1101"/>
    <mergeCell ref="C1102:L1102"/>
    <mergeCell ref="D1103:G1103"/>
    <mergeCell ref="D1104:G1104"/>
    <mergeCell ref="D1105:G1105"/>
    <mergeCell ref="C1131:L1131"/>
    <mergeCell ref="C1132:L1132"/>
    <mergeCell ref="D1133:H1133"/>
    <mergeCell ref="D1134:H1134"/>
    <mergeCell ref="D1135:H1135"/>
    <mergeCell ref="D1136:H1136"/>
    <mergeCell ref="C1124:J1124"/>
    <mergeCell ref="C1127:L1127"/>
    <mergeCell ref="C1128:L1128"/>
    <mergeCell ref="C1129:C1130"/>
    <mergeCell ref="E1129:K1129"/>
    <mergeCell ref="E1130:K1130"/>
    <mergeCell ref="D1118:E1118"/>
    <mergeCell ref="D1119:E1119"/>
    <mergeCell ref="D1120:E1120"/>
    <mergeCell ref="D1121:E1121"/>
    <mergeCell ref="D1122:K1122"/>
    <mergeCell ref="C1123:L1123"/>
    <mergeCell ref="D1149:G1149"/>
    <mergeCell ref="D1150:K1150"/>
    <mergeCell ref="C1151:L1151"/>
    <mergeCell ref="C1152:L1152"/>
    <mergeCell ref="D1153:E1153"/>
    <mergeCell ref="D1154:E1154"/>
    <mergeCell ref="D1143:K1143"/>
    <mergeCell ref="C1144:L1144"/>
    <mergeCell ref="C1145:L1145"/>
    <mergeCell ref="D1146:G1146"/>
    <mergeCell ref="D1147:G1147"/>
    <mergeCell ref="D1148:G1148"/>
    <mergeCell ref="D1137:K1137"/>
    <mergeCell ref="C1138:L1138"/>
    <mergeCell ref="C1139:L1139"/>
    <mergeCell ref="D1140:G1140"/>
    <mergeCell ref="D1141:G1141"/>
    <mergeCell ref="D1142:G1142"/>
    <mergeCell ref="D1168:H1168"/>
    <mergeCell ref="D1169:H1169"/>
    <mergeCell ref="D1170:H1170"/>
    <mergeCell ref="D1171:H1171"/>
    <mergeCell ref="D1172:K1172"/>
    <mergeCell ref="C1173:L1173"/>
    <mergeCell ref="C1163:L1163"/>
    <mergeCell ref="C1164:C1165"/>
    <mergeCell ref="E1164:K1164"/>
    <mergeCell ref="E1165:K1165"/>
    <mergeCell ref="C1166:L1166"/>
    <mergeCell ref="C1167:L1167"/>
    <mergeCell ref="D1155:E1155"/>
    <mergeCell ref="D1156:E1156"/>
    <mergeCell ref="D1157:K1157"/>
    <mergeCell ref="C1158:L1158"/>
    <mergeCell ref="C1159:J1159"/>
    <mergeCell ref="C1162:L1162"/>
    <mergeCell ref="C1194:J1194"/>
    <mergeCell ref="C1186:L1186"/>
    <mergeCell ref="C1187:L1187"/>
    <mergeCell ref="D1188:E1188"/>
    <mergeCell ref="D1189:E1189"/>
    <mergeCell ref="D1190:E1190"/>
    <mergeCell ref="D1191:E1191"/>
    <mergeCell ref="C1180:L1180"/>
    <mergeCell ref="D1181:G1181"/>
    <mergeCell ref="D1182:G1182"/>
    <mergeCell ref="D1183:G1183"/>
    <mergeCell ref="D1184:G1184"/>
    <mergeCell ref="D1185:K1185"/>
    <mergeCell ref="C1174:L1174"/>
    <mergeCell ref="D1175:G1175"/>
    <mergeCell ref="D1176:G1176"/>
    <mergeCell ref="D1177:G1177"/>
    <mergeCell ref="D1178:K1178"/>
    <mergeCell ref="C1179:L1179"/>
    <mergeCell ref="D1252:G1252"/>
    <mergeCell ref="D594:G594"/>
    <mergeCell ref="D595:G595"/>
    <mergeCell ref="D596:G596"/>
    <mergeCell ref="D597:K597"/>
    <mergeCell ref="C598:L598"/>
    <mergeCell ref="C599:L599"/>
    <mergeCell ref="D600:E600"/>
    <mergeCell ref="D601:E601"/>
    <mergeCell ref="D602:E602"/>
    <mergeCell ref="D603:E603"/>
    <mergeCell ref="D604:K604"/>
    <mergeCell ref="C605:L605"/>
    <mergeCell ref="C606:J606"/>
    <mergeCell ref="C575:L575"/>
    <mergeCell ref="C576:L576"/>
    <mergeCell ref="C577:C578"/>
    <mergeCell ref="E577:K577"/>
    <mergeCell ref="E578:K578"/>
    <mergeCell ref="C579:L579"/>
    <mergeCell ref="C580:L580"/>
    <mergeCell ref="D581:H581"/>
    <mergeCell ref="D582:H582"/>
    <mergeCell ref="D583:H583"/>
    <mergeCell ref="D584:H584"/>
    <mergeCell ref="D585:K585"/>
    <mergeCell ref="C586:L586"/>
    <mergeCell ref="C587:L587"/>
    <mergeCell ref="D588:G588"/>
    <mergeCell ref="D589:G589"/>
    <mergeCell ref="D1192:K1192"/>
    <mergeCell ref="C1193:L1193"/>
    <mergeCell ref="D1253:K1253"/>
    <mergeCell ref="C1254:L1254"/>
    <mergeCell ref="C1255:L1255"/>
    <mergeCell ref="D1256:G1256"/>
    <mergeCell ref="D1257:G1257"/>
    <mergeCell ref="D1258:G1258"/>
    <mergeCell ref="D1259:K1259"/>
    <mergeCell ref="C1260:L1260"/>
    <mergeCell ref="C1261:L1261"/>
    <mergeCell ref="D1262:E1262"/>
    <mergeCell ref="D1263:E1263"/>
    <mergeCell ref="D1264:E1264"/>
    <mergeCell ref="D1265:E1265"/>
    <mergeCell ref="D1266:K1266"/>
    <mergeCell ref="C1267:L1267"/>
    <mergeCell ref="C1268:J1268"/>
    <mergeCell ref="C1237:L1237"/>
    <mergeCell ref="C1238:L1238"/>
    <mergeCell ref="C1239:C1240"/>
    <mergeCell ref="E1239:K1239"/>
    <mergeCell ref="E1240:K1240"/>
    <mergeCell ref="C1241:L1241"/>
    <mergeCell ref="C1242:L1242"/>
    <mergeCell ref="D1243:H1243"/>
    <mergeCell ref="D1244:H1244"/>
    <mergeCell ref="D1245:H1245"/>
    <mergeCell ref="D1246:H1246"/>
    <mergeCell ref="D1247:K1247"/>
    <mergeCell ref="C1248:L1248"/>
    <mergeCell ref="C1249:L1249"/>
    <mergeCell ref="D1250:G1250"/>
    <mergeCell ref="D1251:G1251"/>
  </mergeCells>
  <printOptions horizontalCentered="1"/>
  <pageMargins left="0.51181102362204722" right="0.51181102362204722" top="0.74803149606299213" bottom="0.74803149606299213" header="0.31496062992125984" footer="0.31496062992125984"/>
  <pageSetup scale="65" orientation="portrait" r:id="rId1"/>
  <rowBreaks count="4" manualBreakCount="4">
    <brk id="111" min="1" max="12" man="1"/>
    <brk id="216" min="1" max="12" man="1"/>
    <brk id="325" min="1" max="12" man="1"/>
    <brk id="503" min="1"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2:O1200"/>
  <sheetViews>
    <sheetView view="pageBreakPreview" topLeftCell="A403" zoomScale="85" zoomScaleNormal="55" zoomScaleSheetLayoutView="85" workbookViewId="0">
      <selection activeCell="C30" sqref="C30:L30"/>
    </sheetView>
  </sheetViews>
  <sheetFormatPr baseColWidth="10" defaultColWidth="11.42578125" defaultRowHeight="12.75" x14ac:dyDescent="0.25"/>
  <cols>
    <col min="1" max="2" width="3" style="117" customWidth="1"/>
    <col min="3" max="3" width="11.42578125" style="117"/>
    <col min="4" max="4" width="12.42578125" style="140" bestFit="1" customWidth="1"/>
    <col min="5" max="6" width="11.42578125" style="117"/>
    <col min="7" max="7" width="19.7109375" style="117" customWidth="1"/>
    <col min="8" max="8" width="12.85546875" style="117" bestFit="1" customWidth="1"/>
    <col min="9" max="9" width="11.42578125" style="117"/>
    <col min="10" max="10" width="15.7109375" style="117" bestFit="1" customWidth="1"/>
    <col min="11" max="11" width="14.28515625" style="117" customWidth="1"/>
    <col min="12" max="12" width="15.7109375" style="117" bestFit="1" customWidth="1"/>
    <col min="13" max="13" width="3.140625" style="117" customWidth="1"/>
    <col min="14" max="14" width="17.42578125" style="117" customWidth="1"/>
    <col min="15" max="15" width="13.28515625" style="117" bestFit="1" customWidth="1"/>
    <col min="16" max="16384" width="11.42578125" style="117"/>
  </cols>
  <sheetData>
    <row r="2" spans="3:12" ht="13.5" thickBot="1" x14ac:dyDescent="0.3"/>
    <row r="3" spans="3:12" s="116" customFormat="1" x14ac:dyDescent="0.25">
      <c r="C3" s="466" t="s">
        <v>495</v>
      </c>
      <c r="D3" s="467"/>
      <c r="E3" s="467"/>
      <c r="F3" s="467"/>
      <c r="G3" s="467"/>
      <c r="H3" s="467"/>
      <c r="I3" s="467"/>
      <c r="J3" s="467"/>
      <c r="K3" s="467"/>
      <c r="L3" s="468"/>
    </row>
    <row r="4" spans="3:12" s="116" customFormat="1" x14ac:dyDescent="0.25">
      <c r="C4" s="469" t="str">
        <f>+PPTO!A2</f>
        <v>REPOSICION E INSTALACION VALVULAS DE SECTORIZACION EN DIFERENTES SECTORES DEL MUNICIPIO DE PIEDECUESTA - SANTANDER.</v>
      </c>
      <c r="D4" s="470"/>
      <c r="E4" s="470"/>
      <c r="F4" s="470"/>
      <c r="G4" s="470"/>
      <c r="H4" s="470"/>
      <c r="I4" s="470"/>
      <c r="J4" s="470"/>
      <c r="K4" s="470"/>
      <c r="L4" s="471"/>
    </row>
    <row r="5" spans="3:12" x14ac:dyDescent="0.25">
      <c r="C5" s="472" t="s">
        <v>496</v>
      </c>
      <c r="D5" s="141">
        <f>+PPTO!A4</f>
        <v>1</v>
      </c>
      <c r="E5" s="474" t="str">
        <f>+PPTO!B4</f>
        <v>PRELIMINARES</v>
      </c>
      <c r="F5" s="475"/>
      <c r="G5" s="475"/>
      <c r="H5" s="475"/>
      <c r="I5" s="475"/>
      <c r="J5" s="475"/>
      <c r="K5" s="475"/>
      <c r="L5" s="70" t="s">
        <v>52</v>
      </c>
    </row>
    <row r="6" spans="3:12" x14ac:dyDescent="0.25">
      <c r="C6" s="473"/>
      <c r="D6" s="120">
        <f>+PPTO!A5</f>
        <v>1.01</v>
      </c>
      <c r="E6" s="476" t="str">
        <f>+PPTO!B5</f>
        <v>Localización y replanteo</v>
      </c>
      <c r="F6" s="476"/>
      <c r="G6" s="476"/>
      <c r="H6" s="476"/>
      <c r="I6" s="476"/>
      <c r="J6" s="476"/>
      <c r="K6" s="476"/>
      <c r="L6" s="71" t="str">
        <f>+PPTO!C5</f>
        <v>M2</v>
      </c>
    </row>
    <row r="7" spans="3:12" x14ac:dyDescent="0.25">
      <c r="C7" s="477"/>
      <c r="D7" s="478"/>
      <c r="E7" s="478"/>
      <c r="F7" s="478"/>
      <c r="G7" s="478"/>
      <c r="H7" s="478"/>
      <c r="I7" s="478"/>
      <c r="J7" s="478"/>
      <c r="K7" s="478"/>
      <c r="L7" s="479"/>
    </row>
    <row r="8" spans="3:12" x14ac:dyDescent="0.25">
      <c r="C8" s="466" t="s">
        <v>497</v>
      </c>
      <c r="D8" s="467"/>
      <c r="E8" s="467"/>
      <c r="F8" s="467"/>
      <c r="G8" s="467"/>
      <c r="H8" s="467"/>
      <c r="I8" s="467"/>
      <c r="J8" s="467"/>
      <c r="K8" s="467"/>
      <c r="L8" s="468"/>
    </row>
    <row r="9" spans="3:12" x14ac:dyDescent="0.25">
      <c r="C9" s="72" t="s">
        <v>66</v>
      </c>
      <c r="D9" s="492" t="s">
        <v>498</v>
      </c>
      <c r="E9" s="492"/>
      <c r="F9" s="492"/>
      <c r="G9" s="492"/>
      <c r="H9" s="492"/>
      <c r="I9" s="73" t="s">
        <v>499</v>
      </c>
      <c r="J9" s="74" t="s">
        <v>500</v>
      </c>
      <c r="K9" s="73" t="s">
        <v>501</v>
      </c>
      <c r="L9" s="70" t="s">
        <v>502</v>
      </c>
    </row>
    <row r="10" spans="3:12" x14ac:dyDescent="0.25">
      <c r="C10" s="75"/>
      <c r="D10" s="460"/>
      <c r="E10" s="499"/>
      <c r="F10" s="499"/>
      <c r="G10" s="499"/>
      <c r="H10" s="461"/>
      <c r="I10" s="76"/>
      <c r="J10" s="76"/>
      <c r="K10" s="77"/>
      <c r="L10" s="78"/>
    </row>
    <row r="11" spans="3:12" x14ac:dyDescent="0.25">
      <c r="C11" s="79"/>
      <c r="D11" s="493" t="s">
        <v>503</v>
      </c>
      <c r="E11" s="493"/>
      <c r="F11" s="493"/>
      <c r="G11" s="493"/>
      <c r="H11" s="493"/>
      <c r="I11" s="76" t="s">
        <v>61</v>
      </c>
      <c r="J11" s="80">
        <v>1</v>
      </c>
      <c r="K11" s="81">
        <f>L36*0.1</f>
        <v>89.718507000000002</v>
      </c>
      <c r="L11" s="82">
        <f>K11/J11</f>
        <v>89.718507000000002</v>
      </c>
    </row>
    <row r="12" spans="3:12" x14ac:dyDescent="0.25">
      <c r="C12" s="79" t="s">
        <v>0</v>
      </c>
      <c r="D12" s="493" t="str">
        <f>EQUIPO!B2</f>
        <v>Equipos de topografía</v>
      </c>
      <c r="E12" s="493"/>
      <c r="F12" s="493"/>
      <c r="G12" s="493"/>
      <c r="H12" s="493"/>
      <c r="I12" s="76" t="str">
        <f>EQUIPO!C2</f>
        <v>día</v>
      </c>
      <c r="J12" s="76">
        <v>200</v>
      </c>
      <c r="K12" s="81">
        <f>EQUIPO!D2</f>
        <v>150000</v>
      </c>
      <c r="L12" s="82">
        <f>K12/J12</f>
        <v>750</v>
      </c>
    </row>
    <row r="13" spans="3:12" s="116" customFormat="1" x14ac:dyDescent="0.25">
      <c r="C13" s="83"/>
      <c r="D13" s="485" t="s">
        <v>504</v>
      </c>
      <c r="E13" s="485"/>
      <c r="F13" s="485"/>
      <c r="G13" s="485"/>
      <c r="H13" s="485"/>
      <c r="I13" s="485"/>
      <c r="J13" s="485"/>
      <c r="K13" s="485"/>
      <c r="L13" s="84">
        <f>L11+L12</f>
        <v>839.71850700000005</v>
      </c>
    </row>
    <row r="14" spans="3:12" s="116" customFormat="1" x14ac:dyDescent="0.25">
      <c r="C14" s="477"/>
      <c r="D14" s="478"/>
      <c r="E14" s="478"/>
      <c r="F14" s="478"/>
      <c r="G14" s="478"/>
      <c r="H14" s="478"/>
      <c r="I14" s="478"/>
      <c r="J14" s="478"/>
      <c r="K14" s="478"/>
      <c r="L14" s="479"/>
    </row>
    <row r="15" spans="3:12" x14ac:dyDescent="0.25">
      <c r="C15" s="466" t="s">
        <v>505</v>
      </c>
      <c r="D15" s="467"/>
      <c r="E15" s="467"/>
      <c r="F15" s="467"/>
      <c r="G15" s="467"/>
      <c r="H15" s="467"/>
      <c r="I15" s="467"/>
      <c r="J15" s="467"/>
      <c r="K15" s="467"/>
      <c r="L15" s="468"/>
    </row>
    <row r="16" spans="3:12" ht="25.5" x14ac:dyDescent="0.25">
      <c r="C16" s="72" t="s">
        <v>66</v>
      </c>
      <c r="D16" s="492" t="s">
        <v>498</v>
      </c>
      <c r="E16" s="492"/>
      <c r="F16" s="492"/>
      <c r="G16" s="492"/>
      <c r="H16" s="73" t="s">
        <v>499</v>
      </c>
      <c r="I16" s="74" t="s">
        <v>506</v>
      </c>
      <c r="J16" s="73" t="s">
        <v>501</v>
      </c>
      <c r="K16" s="85" t="s">
        <v>507</v>
      </c>
      <c r="L16" s="70" t="s">
        <v>502</v>
      </c>
    </row>
    <row r="17" spans="3:12" x14ac:dyDescent="0.25">
      <c r="C17" s="72" t="str">
        <f>MATERIALES!A192</f>
        <v>MAT-169</v>
      </c>
      <c r="D17" s="498" t="str">
        <f>MATERIALES!B192</f>
        <v>Pintura esmalte</v>
      </c>
      <c r="E17" s="496"/>
      <c r="F17" s="496"/>
      <c r="G17" s="497"/>
      <c r="H17" s="73" t="str">
        <f>MATERIALES!C192</f>
        <v>Gln</v>
      </c>
      <c r="I17" s="76">
        <v>1.4284615384615383E-2</v>
      </c>
      <c r="J17" s="86">
        <f>MATERIALES!D192</f>
        <v>65000</v>
      </c>
      <c r="K17" s="87">
        <v>0</v>
      </c>
      <c r="L17" s="88">
        <f>I17*J17*(1+K17)</f>
        <v>928.49999999999989</v>
      </c>
    </row>
    <row r="18" spans="3:12" x14ac:dyDescent="0.25">
      <c r="C18" s="72" t="str">
        <f>MATERIALES!A193</f>
        <v>MAT-170</v>
      </c>
      <c r="D18" s="498" t="str">
        <f>MATERIALES!B193</f>
        <v>Puntilla con cabeza 2.</v>
      </c>
      <c r="E18" s="496"/>
      <c r="F18" s="496"/>
      <c r="G18" s="497"/>
      <c r="H18" s="73" t="str">
        <f>MATERIALES!C193</f>
        <v>Lb</v>
      </c>
      <c r="I18" s="76">
        <v>0.01</v>
      </c>
      <c r="J18" s="86">
        <f>MATERIALES!D193</f>
        <v>2450</v>
      </c>
      <c r="K18" s="87">
        <v>0</v>
      </c>
      <c r="L18" s="88">
        <f>I18*J18*(1+K18)</f>
        <v>24.5</v>
      </c>
    </row>
    <row r="19" spans="3:12" x14ac:dyDescent="0.25">
      <c r="C19" s="72" t="str">
        <f>MATERIALES!A194</f>
        <v>MAT-171</v>
      </c>
      <c r="D19" s="498" t="str">
        <f>MATERIALES!B194</f>
        <v>Estaca de madera</v>
      </c>
      <c r="E19" s="496"/>
      <c r="F19" s="496"/>
      <c r="G19" s="497"/>
      <c r="H19" s="73" t="str">
        <f>MATERIALES!C194</f>
        <v>Und.</v>
      </c>
      <c r="I19" s="76">
        <v>0.1</v>
      </c>
      <c r="J19" s="86">
        <f>MATERIALES!D194</f>
        <v>1100</v>
      </c>
      <c r="K19" s="87">
        <v>0</v>
      </c>
      <c r="L19" s="88">
        <f>I19*J19*(1+K19)</f>
        <v>110</v>
      </c>
    </row>
    <row r="20" spans="3:12" x14ac:dyDescent="0.25">
      <c r="C20" s="72"/>
      <c r="D20" s="460"/>
      <c r="E20" s="499"/>
      <c r="F20" s="499"/>
      <c r="G20" s="461"/>
      <c r="H20" s="73"/>
      <c r="I20" s="76"/>
      <c r="J20" s="86"/>
      <c r="K20" s="87"/>
      <c r="L20" s="88"/>
    </row>
    <row r="21" spans="3:12" x14ac:dyDescent="0.25">
      <c r="C21" s="90"/>
      <c r="D21" s="500"/>
      <c r="E21" s="500"/>
      <c r="F21" s="500"/>
      <c r="G21" s="500"/>
      <c r="H21" s="97"/>
      <c r="I21" s="91"/>
      <c r="J21" s="92"/>
      <c r="K21" s="93"/>
      <c r="L21" s="82"/>
    </row>
    <row r="22" spans="3:12" x14ac:dyDescent="0.25">
      <c r="C22" s="94"/>
      <c r="D22" s="485" t="s">
        <v>508</v>
      </c>
      <c r="E22" s="485"/>
      <c r="F22" s="485"/>
      <c r="G22" s="485"/>
      <c r="H22" s="485"/>
      <c r="I22" s="485"/>
      <c r="J22" s="485"/>
      <c r="K22" s="485"/>
      <c r="L22" s="84">
        <f>SUM(L17:L21)</f>
        <v>1063</v>
      </c>
    </row>
    <row r="23" spans="3:12" x14ac:dyDescent="0.25">
      <c r="C23" s="486"/>
      <c r="D23" s="487"/>
      <c r="E23" s="487"/>
      <c r="F23" s="487"/>
      <c r="G23" s="487"/>
      <c r="H23" s="487"/>
      <c r="I23" s="487"/>
      <c r="J23" s="487"/>
      <c r="K23" s="487"/>
      <c r="L23" s="488"/>
    </row>
    <row r="24" spans="3:12" x14ac:dyDescent="0.25">
      <c r="C24" s="466" t="s">
        <v>509</v>
      </c>
      <c r="D24" s="467"/>
      <c r="E24" s="467"/>
      <c r="F24" s="467"/>
      <c r="G24" s="467"/>
      <c r="H24" s="467"/>
      <c r="I24" s="467"/>
      <c r="J24" s="467"/>
      <c r="K24" s="467"/>
      <c r="L24" s="468"/>
    </row>
    <row r="25" spans="3:12" x14ac:dyDescent="0.25">
      <c r="C25" s="72" t="s">
        <v>66</v>
      </c>
      <c r="D25" s="492" t="s">
        <v>498</v>
      </c>
      <c r="E25" s="492"/>
      <c r="F25" s="492"/>
      <c r="G25" s="492"/>
      <c r="H25" s="73" t="s">
        <v>506</v>
      </c>
      <c r="I25" s="73" t="s">
        <v>499</v>
      </c>
      <c r="J25" s="74" t="s">
        <v>510</v>
      </c>
      <c r="K25" s="85" t="s">
        <v>511</v>
      </c>
      <c r="L25" s="70" t="s">
        <v>502</v>
      </c>
    </row>
    <row r="26" spans="3:12" x14ac:dyDescent="0.25">
      <c r="C26" s="90"/>
      <c r="D26" s="493"/>
      <c r="E26" s="493"/>
      <c r="F26" s="493"/>
      <c r="G26" s="493"/>
      <c r="H26" s="76"/>
      <c r="I26" s="97"/>
      <c r="J26" s="97"/>
      <c r="K26" s="95"/>
      <c r="L26" s="96"/>
    </row>
    <row r="27" spans="3:12" x14ac:dyDescent="0.25">
      <c r="C27" s="90"/>
      <c r="D27" s="495"/>
      <c r="E27" s="495"/>
      <c r="F27" s="495"/>
      <c r="G27" s="495"/>
      <c r="H27" s="76"/>
      <c r="I27" s="97"/>
      <c r="J27" s="97"/>
      <c r="K27" s="95"/>
      <c r="L27" s="96"/>
    </row>
    <row r="28" spans="3:12" x14ac:dyDescent="0.25">
      <c r="C28" s="90"/>
      <c r="D28" s="495"/>
      <c r="E28" s="495"/>
      <c r="F28" s="495"/>
      <c r="G28" s="495"/>
      <c r="H28" s="76"/>
      <c r="I28" s="97"/>
      <c r="J28" s="97"/>
      <c r="K28" s="95"/>
      <c r="L28" s="96"/>
    </row>
    <row r="29" spans="3:12" s="116" customFormat="1" x14ac:dyDescent="0.25">
      <c r="C29" s="83"/>
      <c r="D29" s="485" t="s">
        <v>512</v>
      </c>
      <c r="E29" s="485"/>
      <c r="F29" s="485"/>
      <c r="G29" s="485"/>
      <c r="H29" s="485"/>
      <c r="I29" s="485"/>
      <c r="J29" s="485"/>
      <c r="K29" s="485"/>
      <c r="L29" s="98">
        <f>L26</f>
        <v>0</v>
      </c>
    </row>
    <row r="30" spans="3:12" s="116" customFormat="1" x14ac:dyDescent="0.25">
      <c r="C30" s="477"/>
      <c r="D30" s="478"/>
      <c r="E30" s="478"/>
      <c r="F30" s="478"/>
      <c r="G30" s="478"/>
      <c r="H30" s="478"/>
      <c r="I30" s="478"/>
      <c r="J30" s="478"/>
      <c r="K30" s="478"/>
      <c r="L30" s="479"/>
    </row>
    <row r="31" spans="3:12" x14ac:dyDescent="0.25">
      <c r="C31" s="466" t="s">
        <v>513</v>
      </c>
      <c r="D31" s="467"/>
      <c r="E31" s="467"/>
      <c r="F31" s="467"/>
      <c r="G31" s="467"/>
      <c r="H31" s="467"/>
      <c r="I31" s="467"/>
      <c r="J31" s="467"/>
      <c r="K31" s="467"/>
      <c r="L31" s="468"/>
    </row>
    <row r="32" spans="3:12" x14ac:dyDescent="0.25">
      <c r="C32" s="72" t="s">
        <v>66</v>
      </c>
      <c r="D32" s="492" t="s">
        <v>498</v>
      </c>
      <c r="E32" s="492"/>
      <c r="F32" s="85" t="s">
        <v>499</v>
      </c>
      <c r="G32" s="85" t="s">
        <v>506</v>
      </c>
      <c r="H32" s="73" t="s">
        <v>514</v>
      </c>
      <c r="I32" s="99" t="s">
        <v>515</v>
      </c>
      <c r="J32" s="85" t="s">
        <v>516</v>
      </c>
      <c r="K32" s="99" t="s">
        <v>517</v>
      </c>
      <c r="L32" s="100" t="s">
        <v>502</v>
      </c>
    </row>
    <row r="33" spans="3:12" x14ac:dyDescent="0.25">
      <c r="C33" s="79" t="s">
        <v>522</v>
      </c>
      <c r="D33" s="460" t="s">
        <v>523</v>
      </c>
      <c r="E33" s="461"/>
      <c r="F33" s="97" t="str">
        <f>'MANO DE OBRA'!$C$2</f>
        <v>DIA</v>
      </c>
      <c r="G33" s="76">
        <v>1</v>
      </c>
      <c r="H33" s="101">
        <v>66744</v>
      </c>
      <c r="I33" s="102">
        <v>0.75649999999999995</v>
      </c>
      <c r="J33" s="103">
        <f>(H33+(H33*I33))</f>
        <v>117235.836</v>
      </c>
      <c r="K33" s="76">
        <v>200</v>
      </c>
      <c r="L33" s="96">
        <f>G33*(J33/K33)</f>
        <v>586.17917999999997</v>
      </c>
    </row>
    <row r="34" spans="3:12" x14ac:dyDescent="0.25">
      <c r="C34" s="79" t="s">
        <v>524</v>
      </c>
      <c r="D34" s="460" t="s">
        <v>525</v>
      </c>
      <c r="E34" s="461"/>
      <c r="F34" s="97" t="str">
        <f>'MANO DE OBRA'!$C$3</f>
        <v>DIA</v>
      </c>
      <c r="G34" s="76">
        <v>1</v>
      </c>
      <c r="H34" s="101">
        <v>35412</v>
      </c>
      <c r="I34" s="102">
        <v>0.75649999999999995</v>
      </c>
      <c r="J34" s="103">
        <f>(H34+(H34*I34))</f>
        <v>62201.178</v>
      </c>
      <c r="K34" s="76">
        <v>200</v>
      </c>
      <c r="L34" s="96">
        <f>G34*(J34/K34)</f>
        <v>311.00589000000002</v>
      </c>
    </row>
    <row r="35" spans="3:12" x14ac:dyDescent="0.25">
      <c r="C35" s="90"/>
      <c r="D35" s="493"/>
      <c r="E35" s="493"/>
      <c r="F35" s="97"/>
      <c r="G35" s="76"/>
      <c r="H35" s="101"/>
      <c r="I35" s="102"/>
      <c r="J35" s="103"/>
      <c r="K35" s="76"/>
      <c r="L35" s="96"/>
    </row>
    <row r="36" spans="3:12" s="116" customFormat="1" x14ac:dyDescent="0.25">
      <c r="C36" s="83"/>
      <c r="D36" s="485" t="s">
        <v>520</v>
      </c>
      <c r="E36" s="485"/>
      <c r="F36" s="485"/>
      <c r="G36" s="485"/>
      <c r="H36" s="485"/>
      <c r="I36" s="485"/>
      <c r="J36" s="485"/>
      <c r="K36" s="485"/>
      <c r="L36" s="98">
        <f>L34+L33</f>
        <v>897.18507</v>
      </c>
    </row>
    <row r="37" spans="3:12" ht="13.5" thickBot="1" x14ac:dyDescent="0.3">
      <c r="C37" s="486"/>
      <c r="D37" s="487"/>
      <c r="E37" s="487"/>
      <c r="F37" s="487"/>
      <c r="G37" s="487"/>
      <c r="H37" s="487"/>
      <c r="I37" s="487"/>
      <c r="J37" s="487"/>
      <c r="K37" s="487"/>
      <c r="L37" s="488"/>
    </row>
    <row r="38" spans="3:12" ht="13.5" thickBot="1" x14ac:dyDescent="0.3">
      <c r="C38" s="489" t="s">
        <v>521</v>
      </c>
      <c r="D38" s="490"/>
      <c r="E38" s="490"/>
      <c r="F38" s="490"/>
      <c r="G38" s="490"/>
      <c r="H38" s="490"/>
      <c r="I38" s="490"/>
      <c r="J38" s="491"/>
      <c r="K38" s="145">
        <f>ROUND(L36+L29+L22+L13,0)</f>
        <v>2800</v>
      </c>
      <c r="L38" s="146"/>
    </row>
    <row r="41" spans="3:12" x14ac:dyDescent="0.25">
      <c r="C41" s="466" t="s">
        <v>495</v>
      </c>
      <c r="D41" s="467"/>
      <c r="E41" s="467"/>
      <c r="F41" s="467"/>
      <c r="G41" s="467"/>
      <c r="H41" s="467"/>
      <c r="I41" s="467"/>
      <c r="J41" s="467"/>
      <c r="K41" s="467"/>
      <c r="L41" s="468"/>
    </row>
    <row r="42" spans="3:12" x14ac:dyDescent="0.25">
      <c r="C42" s="469" t="str">
        <f>+PPTO!A2</f>
        <v>REPOSICION E INSTALACION VALVULAS DE SECTORIZACION EN DIFERENTES SECTORES DEL MUNICIPIO DE PIEDECUESTA - SANTANDER.</v>
      </c>
      <c r="D42" s="470"/>
      <c r="E42" s="470"/>
      <c r="F42" s="470"/>
      <c r="G42" s="470"/>
      <c r="H42" s="470"/>
      <c r="I42" s="470"/>
      <c r="J42" s="470"/>
      <c r="K42" s="470"/>
      <c r="L42" s="471"/>
    </row>
    <row r="43" spans="3:12" x14ac:dyDescent="0.25">
      <c r="C43" s="472" t="s">
        <v>496</v>
      </c>
      <c r="D43" s="141">
        <f>+PPTO!A4</f>
        <v>1</v>
      </c>
      <c r="E43" s="474" t="str">
        <f>+PPTO!B4</f>
        <v>PRELIMINARES</v>
      </c>
      <c r="F43" s="475"/>
      <c r="G43" s="475"/>
      <c r="H43" s="475"/>
      <c r="I43" s="475"/>
      <c r="J43" s="475"/>
      <c r="K43" s="475"/>
      <c r="L43" s="70" t="s">
        <v>52</v>
      </c>
    </row>
    <row r="44" spans="3:12" x14ac:dyDescent="0.25">
      <c r="C44" s="473"/>
      <c r="D44" s="120">
        <f>+PPTO!A6</f>
        <v>1.21</v>
      </c>
      <c r="E44" s="476" t="str">
        <f>+PPTO!B6</f>
        <v>Señalización preventiva</v>
      </c>
      <c r="F44" s="476"/>
      <c r="G44" s="476"/>
      <c r="H44" s="476"/>
      <c r="I44" s="476"/>
      <c r="J44" s="476"/>
      <c r="K44" s="476"/>
      <c r="L44" s="71" t="str">
        <f>+PPTO!C6</f>
        <v>M2</v>
      </c>
    </row>
    <row r="45" spans="3:12" x14ac:dyDescent="0.25">
      <c r="C45" s="477"/>
      <c r="D45" s="478"/>
      <c r="E45" s="478"/>
      <c r="F45" s="478"/>
      <c r="G45" s="478"/>
      <c r="H45" s="478"/>
      <c r="I45" s="478"/>
      <c r="J45" s="478"/>
      <c r="K45" s="478"/>
      <c r="L45" s="479"/>
    </row>
    <row r="46" spans="3:12" x14ac:dyDescent="0.25">
      <c r="C46" s="466" t="s">
        <v>497</v>
      </c>
      <c r="D46" s="467"/>
      <c r="E46" s="467"/>
      <c r="F46" s="467"/>
      <c r="G46" s="467"/>
      <c r="H46" s="467"/>
      <c r="I46" s="467"/>
      <c r="J46" s="467"/>
      <c r="K46" s="467"/>
      <c r="L46" s="468"/>
    </row>
    <row r="47" spans="3:12" x14ac:dyDescent="0.25">
      <c r="C47" s="72" t="s">
        <v>66</v>
      </c>
      <c r="D47" s="492" t="s">
        <v>498</v>
      </c>
      <c r="E47" s="492"/>
      <c r="F47" s="492"/>
      <c r="G47" s="492"/>
      <c r="H47" s="492"/>
      <c r="I47" s="73" t="s">
        <v>499</v>
      </c>
      <c r="J47" s="74" t="s">
        <v>500</v>
      </c>
      <c r="K47" s="73" t="s">
        <v>501</v>
      </c>
      <c r="L47" s="70" t="s">
        <v>502</v>
      </c>
    </row>
    <row r="48" spans="3:12" x14ac:dyDescent="0.25">
      <c r="C48" s="110"/>
      <c r="D48" s="460"/>
      <c r="E48" s="499"/>
      <c r="F48" s="499"/>
      <c r="G48" s="499"/>
      <c r="H48" s="461"/>
      <c r="I48" s="76"/>
      <c r="J48" s="76"/>
      <c r="K48" s="77"/>
      <c r="L48" s="78"/>
    </row>
    <row r="49" spans="3:12" x14ac:dyDescent="0.25">
      <c r="C49" s="79"/>
      <c r="D49" s="493" t="s">
        <v>503</v>
      </c>
      <c r="E49" s="493"/>
      <c r="F49" s="493"/>
      <c r="G49" s="493"/>
      <c r="H49" s="493"/>
      <c r="I49" s="76" t="s">
        <v>61</v>
      </c>
      <c r="J49" s="80">
        <v>1</v>
      </c>
      <c r="K49" s="81">
        <f>L72*0.1</f>
        <v>119.46809209154452</v>
      </c>
      <c r="L49" s="82">
        <f>K49/J49</f>
        <v>119.46809209154452</v>
      </c>
    </row>
    <row r="50" spans="3:12" x14ac:dyDescent="0.25">
      <c r="C50" s="79"/>
      <c r="D50" s="493"/>
      <c r="E50" s="493"/>
      <c r="F50" s="493"/>
      <c r="G50" s="493"/>
      <c r="H50" s="493"/>
      <c r="I50" s="76"/>
      <c r="J50" s="76"/>
      <c r="K50" s="81"/>
      <c r="L50" s="82"/>
    </row>
    <row r="51" spans="3:12" x14ac:dyDescent="0.25">
      <c r="C51" s="83"/>
      <c r="D51" s="485" t="s">
        <v>504</v>
      </c>
      <c r="E51" s="485"/>
      <c r="F51" s="485"/>
      <c r="G51" s="485"/>
      <c r="H51" s="485"/>
      <c r="I51" s="485"/>
      <c r="J51" s="485"/>
      <c r="K51" s="485"/>
      <c r="L51" s="84">
        <f>L49+L48</f>
        <v>119.46809209154452</v>
      </c>
    </row>
    <row r="52" spans="3:12" x14ac:dyDescent="0.25">
      <c r="C52" s="477"/>
      <c r="D52" s="478"/>
      <c r="E52" s="478"/>
      <c r="F52" s="478"/>
      <c r="G52" s="478"/>
      <c r="H52" s="478"/>
      <c r="I52" s="478"/>
      <c r="J52" s="478"/>
      <c r="K52" s="478"/>
      <c r="L52" s="479"/>
    </row>
    <row r="53" spans="3:12" x14ac:dyDescent="0.25">
      <c r="C53" s="466" t="s">
        <v>505</v>
      </c>
      <c r="D53" s="467"/>
      <c r="E53" s="467"/>
      <c r="F53" s="467"/>
      <c r="G53" s="467"/>
      <c r="H53" s="467"/>
      <c r="I53" s="467"/>
      <c r="J53" s="467"/>
      <c r="K53" s="467"/>
      <c r="L53" s="468"/>
    </row>
    <row r="54" spans="3:12" ht="25.5" x14ac:dyDescent="0.25">
      <c r="C54" s="72" t="s">
        <v>66</v>
      </c>
      <c r="D54" s="492" t="s">
        <v>498</v>
      </c>
      <c r="E54" s="492"/>
      <c r="F54" s="492"/>
      <c r="G54" s="492"/>
      <c r="H54" s="73" t="s">
        <v>499</v>
      </c>
      <c r="I54" s="74" t="s">
        <v>506</v>
      </c>
      <c r="J54" s="73" t="s">
        <v>501</v>
      </c>
      <c r="K54" s="85" t="s">
        <v>507</v>
      </c>
      <c r="L54" s="70" t="s">
        <v>502</v>
      </c>
    </row>
    <row r="55" spans="3:12" x14ac:dyDescent="0.25">
      <c r="C55" s="72" t="str">
        <f>+MATERIALES!A280</f>
        <v>MAT-250</v>
      </c>
      <c r="D55" s="498" t="str">
        <f>+MATERIALES!B280</f>
        <v>Colombina de señalización vial</v>
      </c>
      <c r="E55" s="496"/>
      <c r="F55" s="496"/>
      <c r="G55" s="497"/>
      <c r="H55" s="73" t="str">
        <f>MATERIALES!C280</f>
        <v>Und</v>
      </c>
      <c r="I55" s="76">
        <v>0.2</v>
      </c>
      <c r="J55" s="86">
        <f>MATERIALES!D195</f>
        <v>3929</v>
      </c>
      <c r="K55" s="87">
        <v>0</v>
      </c>
      <c r="L55" s="88">
        <f>I55*J55*(1+K55)</f>
        <v>785.80000000000007</v>
      </c>
    </row>
    <row r="56" spans="3:12" ht="12.75" customHeight="1" x14ac:dyDescent="0.25">
      <c r="C56" s="72" t="str">
        <f>+MATERIALES!A281</f>
        <v>MAT-251</v>
      </c>
      <c r="D56" s="498" t="str">
        <f>+MATERIALES!B281</f>
        <v>Cinta de peligro Rollo 500 m</v>
      </c>
      <c r="E56" s="496"/>
      <c r="F56" s="496"/>
      <c r="G56" s="497"/>
      <c r="H56" s="73" t="str">
        <f>MATERIALES!C281</f>
        <v>Und</v>
      </c>
      <c r="I56" s="76">
        <v>0.5</v>
      </c>
      <c r="J56" s="86">
        <f>MATERIALES!D196</f>
        <v>3000</v>
      </c>
      <c r="K56" s="87">
        <v>0</v>
      </c>
      <c r="L56" s="88">
        <f>I56*J56*(1+K56)</f>
        <v>1500</v>
      </c>
    </row>
    <row r="57" spans="3:12" x14ac:dyDescent="0.25">
      <c r="C57" s="72"/>
      <c r="D57" s="498"/>
      <c r="E57" s="496"/>
      <c r="F57" s="496"/>
      <c r="G57" s="497"/>
      <c r="H57" s="73"/>
      <c r="I57" s="76"/>
      <c r="J57" s="86"/>
      <c r="K57" s="87"/>
      <c r="L57" s="88"/>
    </row>
    <row r="58" spans="3:12" ht="13.5" thickBot="1" x14ac:dyDescent="0.3">
      <c r="C58" s="94"/>
      <c r="D58" s="485" t="s">
        <v>508</v>
      </c>
      <c r="E58" s="485"/>
      <c r="F58" s="485"/>
      <c r="G58" s="485"/>
      <c r="H58" s="485"/>
      <c r="I58" s="485"/>
      <c r="J58" s="485"/>
      <c r="K58" s="485"/>
      <c r="L58" s="84">
        <f>SUM(L55:L57)</f>
        <v>2285.8000000000002</v>
      </c>
    </row>
    <row r="59" spans="3:12" x14ac:dyDescent="0.25">
      <c r="C59" s="486"/>
      <c r="D59" s="487"/>
      <c r="E59" s="487"/>
      <c r="F59" s="487"/>
      <c r="G59" s="487"/>
      <c r="H59" s="487"/>
      <c r="I59" s="487"/>
      <c r="J59" s="487"/>
      <c r="K59" s="487"/>
      <c r="L59" s="488"/>
    </row>
    <row r="60" spans="3:12" x14ac:dyDescent="0.25">
      <c r="C60" s="466" t="s">
        <v>509</v>
      </c>
      <c r="D60" s="467"/>
      <c r="E60" s="467"/>
      <c r="F60" s="467"/>
      <c r="G60" s="467"/>
      <c r="H60" s="467"/>
      <c r="I60" s="467"/>
      <c r="J60" s="467"/>
      <c r="K60" s="467"/>
      <c r="L60" s="468"/>
    </row>
    <row r="61" spans="3:12" x14ac:dyDescent="0.25">
      <c r="C61" s="72" t="s">
        <v>66</v>
      </c>
      <c r="D61" s="492" t="s">
        <v>498</v>
      </c>
      <c r="E61" s="492"/>
      <c r="F61" s="492"/>
      <c r="G61" s="492"/>
      <c r="H61" s="73" t="s">
        <v>506</v>
      </c>
      <c r="I61" s="73" t="s">
        <v>499</v>
      </c>
      <c r="J61" s="74" t="s">
        <v>510</v>
      </c>
      <c r="K61" s="85" t="s">
        <v>511</v>
      </c>
      <c r="L61" s="70" t="s">
        <v>502</v>
      </c>
    </row>
    <row r="62" spans="3:12" x14ac:dyDescent="0.25">
      <c r="C62" s="90"/>
      <c r="D62" s="493"/>
      <c r="E62" s="493"/>
      <c r="F62" s="493"/>
      <c r="G62" s="493"/>
      <c r="H62" s="76"/>
      <c r="I62" s="97"/>
      <c r="J62" s="97"/>
      <c r="K62" s="95"/>
      <c r="L62" s="96"/>
    </row>
    <row r="63" spans="3:12" x14ac:dyDescent="0.25">
      <c r="C63" s="90"/>
      <c r="D63" s="495"/>
      <c r="E63" s="495"/>
      <c r="F63" s="495"/>
      <c r="G63" s="495"/>
      <c r="H63" s="76"/>
      <c r="I63" s="97"/>
      <c r="J63" s="97"/>
      <c r="K63" s="95"/>
      <c r="L63" s="96"/>
    </row>
    <row r="64" spans="3:12" x14ac:dyDescent="0.25">
      <c r="C64" s="90"/>
      <c r="D64" s="495"/>
      <c r="E64" s="495"/>
      <c r="F64" s="495"/>
      <c r="G64" s="495"/>
      <c r="H64" s="76"/>
      <c r="I64" s="97"/>
      <c r="J64" s="97"/>
      <c r="K64" s="95"/>
      <c r="L64" s="96"/>
    </row>
    <row r="65" spans="3:12" x14ac:dyDescent="0.25">
      <c r="C65" s="83"/>
      <c r="D65" s="485" t="s">
        <v>512</v>
      </c>
      <c r="E65" s="485"/>
      <c r="F65" s="485"/>
      <c r="G65" s="485"/>
      <c r="H65" s="485"/>
      <c r="I65" s="485"/>
      <c r="J65" s="485"/>
      <c r="K65" s="485"/>
      <c r="L65" s="98">
        <f>L62</f>
        <v>0</v>
      </c>
    </row>
    <row r="66" spans="3:12" x14ac:dyDescent="0.25">
      <c r="C66" s="477"/>
      <c r="D66" s="478"/>
      <c r="E66" s="478"/>
      <c r="F66" s="478"/>
      <c r="G66" s="478"/>
      <c r="H66" s="478"/>
      <c r="I66" s="478"/>
      <c r="J66" s="478"/>
      <c r="K66" s="478"/>
      <c r="L66" s="479"/>
    </row>
    <row r="67" spans="3:12" x14ac:dyDescent="0.25">
      <c r="C67" s="466" t="s">
        <v>513</v>
      </c>
      <c r="D67" s="467"/>
      <c r="E67" s="467"/>
      <c r="F67" s="467"/>
      <c r="G67" s="467"/>
      <c r="H67" s="467"/>
      <c r="I67" s="467"/>
      <c r="J67" s="467"/>
      <c r="K67" s="467"/>
      <c r="L67" s="468"/>
    </row>
    <row r="68" spans="3:12" x14ac:dyDescent="0.25">
      <c r="C68" s="72" t="s">
        <v>66</v>
      </c>
      <c r="D68" s="492" t="s">
        <v>498</v>
      </c>
      <c r="E68" s="492"/>
      <c r="F68" s="85" t="s">
        <v>499</v>
      </c>
      <c r="G68" s="85" t="s">
        <v>506</v>
      </c>
      <c r="H68" s="73" t="s">
        <v>514</v>
      </c>
      <c r="I68" s="99" t="s">
        <v>515</v>
      </c>
      <c r="J68" s="85" t="s">
        <v>516</v>
      </c>
      <c r="K68" s="99" t="s">
        <v>517</v>
      </c>
      <c r="L68" s="100" t="s">
        <v>502</v>
      </c>
    </row>
    <row r="69" spans="3:12" x14ac:dyDescent="0.25">
      <c r="C69" s="79"/>
      <c r="D69" s="460"/>
      <c r="E69" s="461"/>
      <c r="F69" s="97"/>
      <c r="G69" s="76"/>
      <c r="H69" s="101"/>
      <c r="I69" s="102"/>
      <c r="J69" s="103"/>
      <c r="K69" s="76"/>
      <c r="L69" s="96"/>
    </row>
    <row r="70" spans="3:12" x14ac:dyDescent="0.25">
      <c r="C70" s="79" t="s">
        <v>519</v>
      </c>
      <c r="D70" s="460" t="str">
        <f>'MANO DE OBRA'!$B$3</f>
        <v>Ayudante</v>
      </c>
      <c r="E70" s="461"/>
      <c r="F70" s="97" t="str">
        <f>'MANO DE OBRA'!$C$3</f>
        <v>DIA</v>
      </c>
      <c r="G70" s="76">
        <v>1</v>
      </c>
      <c r="H70" s="101">
        <f>'MANO DE OBRA'!$D$3</f>
        <v>28981.77</v>
      </c>
      <c r="I70" s="102">
        <v>0.75649999999999995</v>
      </c>
      <c r="J70" s="103">
        <f>(H70+(H70*I70))</f>
        <v>50906.479005000001</v>
      </c>
      <c r="K70" s="76">
        <v>42.610941644562317</v>
      </c>
      <c r="L70" s="96">
        <f>G70*(J70/K70)</f>
        <v>1194.6809209154451</v>
      </c>
    </row>
    <row r="71" spans="3:12" x14ac:dyDescent="0.25">
      <c r="C71" s="90"/>
      <c r="D71" s="493"/>
      <c r="E71" s="493"/>
      <c r="F71" s="97"/>
      <c r="G71" s="76"/>
      <c r="H71" s="101"/>
      <c r="I71" s="102"/>
      <c r="J71" s="103"/>
      <c r="K71" s="76"/>
      <c r="L71" s="96"/>
    </row>
    <row r="72" spans="3:12" x14ac:dyDescent="0.25">
      <c r="C72" s="83"/>
      <c r="D72" s="485" t="s">
        <v>520</v>
      </c>
      <c r="E72" s="485"/>
      <c r="F72" s="485"/>
      <c r="G72" s="485"/>
      <c r="H72" s="485"/>
      <c r="I72" s="485"/>
      <c r="J72" s="485"/>
      <c r="K72" s="485"/>
      <c r="L72" s="98">
        <f>L70+L69</f>
        <v>1194.6809209154451</v>
      </c>
    </row>
    <row r="73" spans="3:12" ht="13.5" thickBot="1" x14ac:dyDescent="0.3">
      <c r="C73" s="486"/>
      <c r="D73" s="487"/>
      <c r="E73" s="487"/>
      <c r="F73" s="487"/>
      <c r="G73" s="487"/>
      <c r="H73" s="487"/>
      <c r="I73" s="487"/>
      <c r="J73" s="487"/>
      <c r="K73" s="487"/>
      <c r="L73" s="488"/>
    </row>
    <row r="74" spans="3:12" ht="13.5" thickBot="1" x14ac:dyDescent="0.3">
      <c r="C74" s="489" t="s">
        <v>521</v>
      </c>
      <c r="D74" s="490"/>
      <c r="E74" s="490"/>
      <c r="F74" s="490"/>
      <c r="G74" s="490"/>
      <c r="H74" s="490"/>
      <c r="I74" s="490"/>
      <c r="J74" s="491"/>
      <c r="K74" s="145">
        <f>ROUND(L72+L65+L58+L51,0)</f>
        <v>3600</v>
      </c>
      <c r="L74" s="146"/>
    </row>
    <row r="77" spans="3:12" s="116" customFormat="1" x14ac:dyDescent="0.25">
      <c r="C77" s="466" t="s">
        <v>495</v>
      </c>
      <c r="D77" s="467"/>
      <c r="E77" s="467"/>
      <c r="F77" s="467"/>
      <c r="G77" s="467"/>
      <c r="H77" s="467"/>
      <c r="I77" s="467"/>
      <c r="J77" s="467"/>
      <c r="K77" s="467"/>
      <c r="L77" s="468"/>
    </row>
    <row r="78" spans="3:12" s="116" customFormat="1" x14ac:dyDescent="0.25">
      <c r="C78" s="469" t="str">
        <f>+PPTO!A2</f>
        <v>REPOSICION E INSTALACION VALVULAS DE SECTORIZACION EN DIFERENTES SECTORES DEL MUNICIPIO DE PIEDECUESTA - SANTANDER.</v>
      </c>
      <c r="D78" s="470"/>
      <c r="E78" s="470"/>
      <c r="F78" s="470"/>
      <c r="G78" s="470"/>
      <c r="H78" s="470"/>
      <c r="I78" s="470"/>
      <c r="J78" s="470"/>
      <c r="K78" s="470"/>
      <c r="L78" s="471"/>
    </row>
    <row r="79" spans="3:12" x14ac:dyDescent="0.25">
      <c r="C79" s="472" t="s">
        <v>496</v>
      </c>
      <c r="D79" s="141">
        <f>+PPTO!A4</f>
        <v>1</v>
      </c>
      <c r="E79" s="474" t="str">
        <f>+PPTO!B4</f>
        <v>PRELIMINARES</v>
      </c>
      <c r="F79" s="475"/>
      <c r="G79" s="475"/>
      <c r="H79" s="475"/>
      <c r="I79" s="475"/>
      <c r="J79" s="475"/>
      <c r="K79" s="475"/>
      <c r="L79" s="70" t="s">
        <v>52</v>
      </c>
    </row>
    <row r="80" spans="3:12" ht="30" customHeight="1" x14ac:dyDescent="0.25">
      <c r="C80" s="473"/>
      <c r="D80" s="120">
        <f>+PPTO!A7</f>
        <v>1.23</v>
      </c>
      <c r="E80" s="476" t="str">
        <f>+PPTO!B7</f>
        <v>Rotura de pavimento flexible (Incluye retiro)</v>
      </c>
      <c r="F80" s="476"/>
      <c r="G80" s="476"/>
      <c r="H80" s="476"/>
      <c r="I80" s="476"/>
      <c r="J80" s="476"/>
      <c r="K80" s="476"/>
      <c r="L80" s="71" t="str">
        <f>+PPTO!C7</f>
        <v>M2</v>
      </c>
    </row>
    <row r="81" spans="3:12" x14ac:dyDescent="0.25">
      <c r="C81" s="477"/>
      <c r="D81" s="478"/>
      <c r="E81" s="478"/>
      <c r="F81" s="478"/>
      <c r="G81" s="478"/>
      <c r="H81" s="478"/>
      <c r="I81" s="478"/>
      <c r="J81" s="478"/>
      <c r="K81" s="478"/>
      <c r="L81" s="479"/>
    </row>
    <row r="82" spans="3:12" x14ac:dyDescent="0.25">
      <c r="C82" s="466" t="s">
        <v>497</v>
      </c>
      <c r="D82" s="467"/>
      <c r="E82" s="467"/>
      <c r="F82" s="467"/>
      <c r="G82" s="467"/>
      <c r="H82" s="467"/>
      <c r="I82" s="467"/>
      <c r="J82" s="467"/>
      <c r="K82" s="467"/>
      <c r="L82" s="468"/>
    </row>
    <row r="83" spans="3:12" x14ac:dyDescent="0.25">
      <c r="C83" s="72" t="s">
        <v>66</v>
      </c>
      <c r="D83" s="492" t="s">
        <v>498</v>
      </c>
      <c r="E83" s="492"/>
      <c r="F83" s="492"/>
      <c r="G83" s="492"/>
      <c r="H83" s="492"/>
      <c r="I83" s="73" t="s">
        <v>499</v>
      </c>
      <c r="J83" s="74" t="s">
        <v>500</v>
      </c>
      <c r="K83" s="73" t="s">
        <v>501</v>
      </c>
      <c r="L83" s="70" t="s">
        <v>502</v>
      </c>
    </row>
    <row r="84" spans="3:12" x14ac:dyDescent="0.25">
      <c r="C84" s="75"/>
      <c r="D84" s="460"/>
      <c r="E84" s="499"/>
      <c r="F84" s="499"/>
      <c r="G84" s="499"/>
      <c r="H84" s="461"/>
      <c r="I84" s="76"/>
      <c r="J84" s="76"/>
      <c r="K84" s="77"/>
      <c r="L84" s="78"/>
    </row>
    <row r="85" spans="3:12" x14ac:dyDescent="0.25">
      <c r="C85" s="79"/>
      <c r="D85" s="493" t="s">
        <v>503</v>
      </c>
      <c r="E85" s="493"/>
      <c r="F85" s="493"/>
      <c r="G85" s="493"/>
      <c r="H85" s="493"/>
      <c r="I85" s="76" t="s">
        <v>61</v>
      </c>
      <c r="J85" s="80">
        <v>1</v>
      </c>
      <c r="K85" s="81">
        <f>L108*0.1</f>
        <v>381.79859253750004</v>
      </c>
      <c r="L85" s="82">
        <f>K85/J85</f>
        <v>381.79859253750004</v>
      </c>
    </row>
    <row r="86" spans="3:12" x14ac:dyDescent="0.25">
      <c r="C86" s="79"/>
      <c r="D86" s="462" t="s">
        <v>706</v>
      </c>
      <c r="E86" s="493"/>
      <c r="F86" s="493"/>
      <c r="G86" s="493"/>
      <c r="H86" s="493"/>
      <c r="I86" s="111" t="s">
        <v>5</v>
      </c>
      <c r="J86" s="80">
        <v>5</v>
      </c>
      <c r="K86" s="81">
        <v>68750</v>
      </c>
      <c r="L86" s="82">
        <f>+K86/J86</f>
        <v>13750</v>
      </c>
    </row>
    <row r="87" spans="3:12" x14ac:dyDescent="0.25">
      <c r="C87" s="79"/>
      <c r="D87" s="462" t="s">
        <v>707</v>
      </c>
      <c r="E87" s="493"/>
      <c r="F87" s="493"/>
      <c r="G87" s="493"/>
      <c r="H87" s="493"/>
      <c r="I87" s="111" t="s">
        <v>2</v>
      </c>
      <c r="J87" s="76">
        <v>40</v>
      </c>
      <c r="K87" s="81">
        <v>70000</v>
      </c>
      <c r="L87" s="82">
        <f>+K87/J87</f>
        <v>1750</v>
      </c>
    </row>
    <row r="88" spans="3:12" s="116" customFormat="1" x14ac:dyDescent="0.25">
      <c r="C88" s="83"/>
      <c r="D88" s="485" t="s">
        <v>504</v>
      </c>
      <c r="E88" s="485"/>
      <c r="F88" s="485"/>
      <c r="G88" s="485"/>
      <c r="H88" s="485"/>
      <c r="I88" s="485"/>
      <c r="J88" s="485"/>
      <c r="K88" s="485"/>
      <c r="L88" s="84">
        <f>L85+L86+L87</f>
        <v>15881.7985925375</v>
      </c>
    </row>
    <row r="89" spans="3:12" s="116" customFormat="1" x14ac:dyDescent="0.25">
      <c r="C89" s="477"/>
      <c r="D89" s="478"/>
      <c r="E89" s="478"/>
      <c r="F89" s="478"/>
      <c r="G89" s="478"/>
      <c r="H89" s="478"/>
      <c r="I89" s="478"/>
      <c r="J89" s="478"/>
      <c r="K89" s="478"/>
      <c r="L89" s="479"/>
    </row>
    <row r="90" spans="3:12" x14ac:dyDescent="0.25">
      <c r="C90" s="466" t="s">
        <v>505</v>
      </c>
      <c r="D90" s="467"/>
      <c r="E90" s="467"/>
      <c r="F90" s="467"/>
      <c r="G90" s="467"/>
      <c r="H90" s="467"/>
      <c r="I90" s="467"/>
      <c r="J90" s="467"/>
      <c r="K90" s="467"/>
      <c r="L90" s="468"/>
    </row>
    <row r="91" spans="3:12" ht="25.5" x14ac:dyDescent="0.25">
      <c r="C91" s="72" t="s">
        <v>66</v>
      </c>
      <c r="D91" s="492" t="s">
        <v>498</v>
      </c>
      <c r="E91" s="492"/>
      <c r="F91" s="492"/>
      <c r="G91" s="492"/>
      <c r="H91" s="73" t="s">
        <v>499</v>
      </c>
      <c r="I91" s="74" t="s">
        <v>506</v>
      </c>
      <c r="J91" s="73" t="s">
        <v>501</v>
      </c>
      <c r="K91" s="85" t="s">
        <v>507</v>
      </c>
      <c r="L91" s="70" t="s">
        <v>502</v>
      </c>
    </row>
    <row r="92" spans="3:12" x14ac:dyDescent="0.25">
      <c r="C92" s="72"/>
      <c r="D92" s="498"/>
      <c r="E92" s="496"/>
      <c r="F92" s="496"/>
      <c r="G92" s="497"/>
      <c r="H92" s="73"/>
      <c r="I92" s="76"/>
      <c r="J92" s="86"/>
      <c r="K92" s="87"/>
      <c r="L92" s="88"/>
    </row>
    <row r="93" spans="3:12" x14ac:dyDescent="0.25">
      <c r="C93" s="90"/>
      <c r="D93" s="500"/>
      <c r="E93" s="500"/>
      <c r="F93" s="500"/>
      <c r="G93" s="500"/>
      <c r="H93" s="97"/>
      <c r="I93" s="91"/>
      <c r="J93" s="92"/>
      <c r="K93" s="93"/>
      <c r="L93" s="82"/>
    </row>
    <row r="94" spans="3:12" x14ac:dyDescent="0.25">
      <c r="C94" s="94"/>
      <c r="D94" s="485" t="s">
        <v>508</v>
      </c>
      <c r="E94" s="485"/>
      <c r="F94" s="485"/>
      <c r="G94" s="485"/>
      <c r="H94" s="485"/>
      <c r="I94" s="485"/>
      <c r="J94" s="485"/>
      <c r="K94" s="485"/>
      <c r="L94" s="84">
        <f>SUM(L92:L93)</f>
        <v>0</v>
      </c>
    </row>
    <row r="95" spans="3:12" x14ac:dyDescent="0.25">
      <c r="C95" s="486"/>
      <c r="D95" s="487"/>
      <c r="E95" s="487"/>
      <c r="F95" s="487"/>
      <c r="G95" s="487"/>
      <c r="H95" s="487"/>
      <c r="I95" s="487"/>
      <c r="J95" s="487"/>
      <c r="K95" s="487"/>
      <c r="L95" s="488"/>
    </row>
    <row r="96" spans="3:12" x14ac:dyDescent="0.25">
      <c r="C96" s="466" t="s">
        <v>509</v>
      </c>
      <c r="D96" s="467"/>
      <c r="E96" s="467"/>
      <c r="F96" s="467"/>
      <c r="G96" s="467"/>
      <c r="H96" s="467"/>
      <c r="I96" s="467"/>
      <c r="J96" s="467"/>
      <c r="K96" s="467"/>
      <c r="L96" s="468"/>
    </row>
    <row r="97" spans="3:12" x14ac:dyDescent="0.25">
      <c r="C97" s="72" t="s">
        <v>66</v>
      </c>
      <c r="D97" s="492" t="s">
        <v>498</v>
      </c>
      <c r="E97" s="492"/>
      <c r="F97" s="492"/>
      <c r="G97" s="492"/>
      <c r="H97" s="73" t="s">
        <v>506</v>
      </c>
      <c r="I97" s="73" t="s">
        <v>499</v>
      </c>
      <c r="J97" s="74" t="s">
        <v>510</v>
      </c>
      <c r="K97" s="85" t="s">
        <v>511</v>
      </c>
      <c r="L97" s="70" t="s">
        <v>502</v>
      </c>
    </row>
    <row r="98" spans="3:12" x14ac:dyDescent="0.25">
      <c r="C98" s="90"/>
      <c r="D98" s="493"/>
      <c r="E98" s="493"/>
      <c r="F98" s="493"/>
      <c r="G98" s="493"/>
      <c r="H98" s="76"/>
      <c r="I98" s="97"/>
      <c r="J98" s="97"/>
      <c r="K98" s="95"/>
      <c r="L98" s="96"/>
    </row>
    <row r="99" spans="3:12" x14ac:dyDescent="0.25">
      <c r="C99" s="90"/>
      <c r="D99" s="495"/>
      <c r="E99" s="495"/>
      <c r="F99" s="495"/>
      <c r="G99" s="495"/>
      <c r="H99" s="76"/>
      <c r="I99" s="97"/>
      <c r="J99" s="97"/>
      <c r="K99" s="95"/>
      <c r="L99" s="96"/>
    </row>
    <row r="100" spans="3:12" x14ac:dyDescent="0.25">
      <c r="C100" s="90"/>
      <c r="D100" s="495"/>
      <c r="E100" s="495"/>
      <c r="F100" s="495"/>
      <c r="G100" s="495"/>
      <c r="H100" s="76"/>
      <c r="I100" s="97"/>
      <c r="J100" s="97"/>
      <c r="K100" s="95"/>
      <c r="L100" s="96"/>
    </row>
    <row r="101" spans="3:12" s="116" customFormat="1" x14ac:dyDescent="0.25">
      <c r="C101" s="83"/>
      <c r="D101" s="485" t="s">
        <v>512</v>
      </c>
      <c r="E101" s="485"/>
      <c r="F101" s="485"/>
      <c r="G101" s="485"/>
      <c r="H101" s="485"/>
      <c r="I101" s="485"/>
      <c r="J101" s="485"/>
      <c r="K101" s="485"/>
      <c r="L101" s="98">
        <f>L98</f>
        <v>0</v>
      </c>
    </row>
    <row r="102" spans="3:12" s="116" customFormat="1" x14ac:dyDescent="0.25">
      <c r="C102" s="477"/>
      <c r="D102" s="478"/>
      <c r="E102" s="478"/>
      <c r="F102" s="478"/>
      <c r="G102" s="478"/>
      <c r="H102" s="478"/>
      <c r="I102" s="478"/>
      <c r="J102" s="478"/>
      <c r="K102" s="478"/>
      <c r="L102" s="479"/>
    </row>
    <row r="103" spans="3:12" x14ac:dyDescent="0.25">
      <c r="C103" s="466" t="s">
        <v>513</v>
      </c>
      <c r="D103" s="467"/>
      <c r="E103" s="467"/>
      <c r="F103" s="467"/>
      <c r="G103" s="467"/>
      <c r="H103" s="467"/>
      <c r="I103" s="467"/>
      <c r="J103" s="467"/>
      <c r="K103" s="467"/>
      <c r="L103" s="468"/>
    </row>
    <row r="104" spans="3:12" x14ac:dyDescent="0.25">
      <c r="C104" s="72" t="s">
        <v>66</v>
      </c>
      <c r="D104" s="492" t="s">
        <v>498</v>
      </c>
      <c r="E104" s="492"/>
      <c r="F104" s="85" t="s">
        <v>499</v>
      </c>
      <c r="G104" s="85" t="s">
        <v>506</v>
      </c>
      <c r="H104" s="73" t="s">
        <v>514</v>
      </c>
      <c r="I104" s="99" t="s">
        <v>515</v>
      </c>
      <c r="J104" s="85" t="s">
        <v>516</v>
      </c>
      <c r="K104" s="99" t="s">
        <v>517</v>
      </c>
      <c r="L104" s="100" t="s">
        <v>502</v>
      </c>
    </row>
    <row r="105" spans="3:12" x14ac:dyDescent="0.25">
      <c r="C105" s="79" t="s">
        <v>519</v>
      </c>
      <c r="D105" s="460" t="str">
        <f>'MANO DE OBRA'!$B$3</f>
        <v>Ayudante</v>
      </c>
      <c r="E105" s="461"/>
      <c r="F105" s="97" t="str">
        <f>'MANO DE OBRA'!$C$3</f>
        <v>DIA</v>
      </c>
      <c r="G105" s="76">
        <v>3</v>
      </c>
      <c r="H105" s="101">
        <f>'MANO DE OBRA'!$D$3</f>
        <v>28981.77</v>
      </c>
      <c r="I105" s="102">
        <v>0.75649999999999995</v>
      </c>
      <c r="J105" s="103">
        <f>(H105+(H105*I105))</f>
        <v>50906.479005000001</v>
      </c>
      <c r="K105" s="76">
        <v>40</v>
      </c>
      <c r="L105" s="96">
        <f>G105*(J105/K105)</f>
        <v>3817.9859253750001</v>
      </c>
    </row>
    <row r="106" spans="3:12" x14ac:dyDescent="0.25">
      <c r="C106" s="79"/>
      <c r="D106" s="460"/>
      <c r="E106" s="461"/>
      <c r="F106" s="97"/>
      <c r="G106" s="76"/>
      <c r="H106" s="101"/>
      <c r="I106" s="102"/>
      <c r="J106" s="103"/>
      <c r="K106" s="76"/>
      <c r="L106" s="96"/>
    </row>
    <row r="107" spans="3:12" x14ac:dyDescent="0.25">
      <c r="C107" s="90"/>
      <c r="D107" s="493"/>
      <c r="E107" s="493"/>
      <c r="F107" s="97"/>
      <c r="G107" s="76"/>
      <c r="H107" s="101"/>
      <c r="I107" s="102"/>
      <c r="J107" s="103"/>
      <c r="K107" s="76"/>
      <c r="L107" s="96"/>
    </row>
    <row r="108" spans="3:12" s="116" customFormat="1" x14ac:dyDescent="0.25">
      <c r="C108" s="83"/>
      <c r="D108" s="485" t="s">
        <v>520</v>
      </c>
      <c r="E108" s="485"/>
      <c r="F108" s="485"/>
      <c r="G108" s="485"/>
      <c r="H108" s="485"/>
      <c r="I108" s="485"/>
      <c r="J108" s="485"/>
      <c r="K108" s="485"/>
      <c r="L108" s="98">
        <f>L106+L105</f>
        <v>3817.9859253750001</v>
      </c>
    </row>
    <row r="109" spans="3:12" ht="13.5" thickBot="1" x14ac:dyDescent="0.3">
      <c r="C109" s="486"/>
      <c r="D109" s="487"/>
      <c r="E109" s="487"/>
      <c r="F109" s="487"/>
      <c r="G109" s="487"/>
      <c r="H109" s="487"/>
      <c r="I109" s="487"/>
      <c r="J109" s="487"/>
      <c r="K109" s="487"/>
      <c r="L109" s="488"/>
    </row>
    <row r="110" spans="3:12" ht="13.5" thickBot="1" x14ac:dyDescent="0.3">
      <c r="C110" s="489" t="s">
        <v>521</v>
      </c>
      <c r="D110" s="490"/>
      <c r="E110" s="490"/>
      <c r="F110" s="490"/>
      <c r="G110" s="490"/>
      <c r="H110" s="490"/>
      <c r="I110" s="490"/>
      <c r="J110" s="491"/>
      <c r="K110" s="145">
        <f>ROUND(L108+L101+L94+L88,0)</f>
        <v>19700</v>
      </c>
      <c r="L110" s="146"/>
    </row>
    <row r="111" spans="3:12" x14ac:dyDescent="0.25">
      <c r="C111" s="114"/>
      <c r="D111" s="142"/>
      <c r="E111" s="114"/>
      <c r="F111" s="114"/>
      <c r="G111" s="114"/>
      <c r="H111" s="114"/>
      <c r="I111" s="114"/>
      <c r="J111" s="114"/>
      <c r="K111" s="115"/>
      <c r="L111" s="115"/>
    </row>
    <row r="112" spans="3:12" ht="13.5" thickBot="1" x14ac:dyDescent="0.3"/>
    <row r="113" spans="3:12" s="116" customFormat="1" x14ac:dyDescent="0.25">
      <c r="C113" s="466" t="s">
        <v>495</v>
      </c>
      <c r="D113" s="467"/>
      <c r="E113" s="467"/>
      <c r="F113" s="467"/>
      <c r="G113" s="467"/>
      <c r="H113" s="467"/>
      <c r="I113" s="467"/>
      <c r="J113" s="467"/>
      <c r="K113" s="467"/>
      <c r="L113" s="468"/>
    </row>
    <row r="114" spans="3:12" s="116" customFormat="1" x14ac:dyDescent="0.25">
      <c r="C114" s="469" t="str">
        <f>+PPTO!A2</f>
        <v>REPOSICION E INSTALACION VALVULAS DE SECTORIZACION EN DIFERENTES SECTORES DEL MUNICIPIO DE PIEDECUESTA - SANTANDER.</v>
      </c>
      <c r="D114" s="470"/>
      <c r="E114" s="470"/>
      <c r="F114" s="470"/>
      <c r="G114" s="470"/>
      <c r="H114" s="470"/>
      <c r="I114" s="470"/>
      <c r="J114" s="470"/>
      <c r="K114" s="470"/>
      <c r="L114" s="471"/>
    </row>
    <row r="115" spans="3:12" x14ac:dyDescent="0.25">
      <c r="C115" s="472" t="s">
        <v>496</v>
      </c>
      <c r="D115" s="141">
        <f>+PPTO!A4</f>
        <v>1</v>
      </c>
      <c r="E115" s="474" t="str">
        <f>+PPTO!B4</f>
        <v>PRELIMINARES</v>
      </c>
      <c r="F115" s="475"/>
      <c r="G115" s="475"/>
      <c r="H115" s="475"/>
      <c r="I115" s="475"/>
      <c r="J115" s="475"/>
      <c r="K115" s="475"/>
      <c r="L115" s="70" t="s">
        <v>52</v>
      </c>
    </row>
    <row r="116" spans="3:12" ht="30" customHeight="1" thickBot="1" x14ac:dyDescent="0.3">
      <c r="C116" s="473"/>
      <c r="D116" s="120">
        <f>+PPTO!A8</f>
        <v>1.04</v>
      </c>
      <c r="E116" s="476" t="str">
        <f>+PPTO!B8</f>
        <v>Rotura de pavimento rígido (Incluye retiro)</v>
      </c>
      <c r="F116" s="476"/>
      <c r="G116" s="476"/>
      <c r="H116" s="476"/>
      <c r="I116" s="476"/>
      <c r="J116" s="476"/>
      <c r="K116" s="476"/>
      <c r="L116" s="71" t="str">
        <f>+PPTO!C8</f>
        <v>M2</v>
      </c>
    </row>
    <row r="117" spans="3:12" ht="13.5" thickBot="1" x14ac:dyDescent="0.3">
      <c r="C117" s="477"/>
      <c r="D117" s="478"/>
      <c r="E117" s="478"/>
      <c r="F117" s="478"/>
      <c r="G117" s="478"/>
      <c r="H117" s="478"/>
      <c r="I117" s="478"/>
      <c r="J117" s="478"/>
      <c r="K117" s="478"/>
      <c r="L117" s="479"/>
    </row>
    <row r="118" spans="3:12" x14ac:dyDescent="0.25">
      <c r="C118" s="466" t="s">
        <v>497</v>
      </c>
      <c r="D118" s="467"/>
      <c r="E118" s="467"/>
      <c r="F118" s="467"/>
      <c r="G118" s="467"/>
      <c r="H118" s="467"/>
      <c r="I118" s="467"/>
      <c r="J118" s="467"/>
      <c r="K118" s="467"/>
      <c r="L118" s="468"/>
    </row>
    <row r="119" spans="3:12" x14ac:dyDescent="0.25">
      <c r="C119" s="72" t="s">
        <v>66</v>
      </c>
      <c r="D119" s="492" t="s">
        <v>498</v>
      </c>
      <c r="E119" s="492"/>
      <c r="F119" s="492"/>
      <c r="G119" s="492"/>
      <c r="H119" s="492"/>
      <c r="I119" s="73" t="s">
        <v>499</v>
      </c>
      <c r="J119" s="74" t="s">
        <v>500</v>
      </c>
      <c r="K119" s="73" t="s">
        <v>501</v>
      </c>
      <c r="L119" s="70" t="s">
        <v>502</v>
      </c>
    </row>
    <row r="120" spans="3:12" x14ac:dyDescent="0.25">
      <c r="C120" s="75"/>
      <c r="D120" s="460"/>
      <c r="E120" s="499"/>
      <c r="F120" s="499"/>
      <c r="G120" s="499"/>
      <c r="H120" s="461"/>
      <c r="I120" s="76"/>
      <c r="J120" s="76"/>
      <c r="K120" s="77"/>
      <c r="L120" s="78"/>
    </row>
    <row r="121" spans="3:12" x14ac:dyDescent="0.25">
      <c r="C121" s="79"/>
      <c r="D121" s="493" t="s">
        <v>503</v>
      </c>
      <c r="E121" s="493"/>
      <c r="F121" s="493"/>
      <c r="G121" s="493"/>
      <c r="H121" s="493"/>
      <c r="I121" s="76" t="s">
        <v>61</v>
      </c>
      <c r="J121" s="80">
        <v>1</v>
      </c>
      <c r="K121" s="81">
        <f>L144*0.1</f>
        <v>3292.049456668326</v>
      </c>
      <c r="L121" s="82">
        <f>K121/J121</f>
        <v>3292.049456668326</v>
      </c>
    </row>
    <row r="122" spans="3:12" x14ac:dyDescent="0.25">
      <c r="C122" s="79"/>
      <c r="D122" s="462" t="s">
        <v>706</v>
      </c>
      <c r="E122" s="493"/>
      <c r="F122" s="493"/>
      <c r="G122" s="493"/>
      <c r="H122" s="493"/>
      <c r="I122" s="111" t="s">
        <v>5</v>
      </c>
      <c r="J122" s="80">
        <v>4</v>
      </c>
      <c r="K122" s="81">
        <v>68750</v>
      </c>
      <c r="L122" s="82">
        <f>+K122/J122</f>
        <v>17187.5</v>
      </c>
    </row>
    <row r="123" spans="3:12" x14ac:dyDescent="0.25">
      <c r="C123" s="79"/>
      <c r="D123" s="462" t="s">
        <v>707</v>
      </c>
      <c r="E123" s="493"/>
      <c r="F123" s="493"/>
      <c r="G123" s="493"/>
      <c r="H123" s="493"/>
      <c r="I123" s="111" t="s">
        <v>2</v>
      </c>
      <c r="J123" s="76">
        <v>5</v>
      </c>
      <c r="K123" s="81">
        <v>70000</v>
      </c>
      <c r="L123" s="82">
        <f>+K123/J123</f>
        <v>14000</v>
      </c>
    </row>
    <row r="124" spans="3:12" s="116" customFormat="1" ht="13.5" thickBot="1" x14ac:dyDescent="0.3">
      <c r="C124" s="83"/>
      <c r="D124" s="485" t="s">
        <v>504</v>
      </c>
      <c r="E124" s="485"/>
      <c r="F124" s="485"/>
      <c r="G124" s="485"/>
      <c r="H124" s="485"/>
      <c r="I124" s="485"/>
      <c r="J124" s="485"/>
      <c r="K124" s="485"/>
      <c r="L124" s="84">
        <f>L121+L122+L123</f>
        <v>34479.549456668326</v>
      </c>
    </row>
    <row r="125" spans="3:12" s="116" customFormat="1" ht="13.5" thickBot="1" x14ac:dyDescent="0.3">
      <c r="C125" s="477"/>
      <c r="D125" s="478"/>
      <c r="E125" s="478"/>
      <c r="F125" s="478"/>
      <c r="G125" s="478"/>
      <c r="H125" s="478"/>
      <c r="I125" s="478"/>
      <c r="J125" s="478"/>
      <c r="K125" s="478"/>
      <c r="L125" s="479"/>
    </row>
    <row r="126" spans="3:12" x14ac:dyDescent="0.25">
      <c r="C126" s="466" t="s">
        <v>505</v>
      </c>
      <c r="D126" s="467"/>
      <c r="E126" s="467"/>
      <c r="F126" s="467"/>
      <c r="G126" s="467"/>
      <c r="H126" s="467"/>
      <c r="I126" s="467"/>
      <c r="J126" s="467"/>
      <c r="K126" s="467"/>
      <c r="L126" s="468"/>
    </row>
    <row r="127" spans="3:12" ht="25.5" x14ac:dyDescent="0.25">
      <c r="C127" s="72" t="s">
        <v>66</v>
      </c>
      <c r="D127" s="492" t="s">
        <v>498</v>
      </c>
      <c r="E127" s="492"/>
      <c r="F127" s="492"/>
      <c r="G127" s="492"/>
      <c r="H127" s="73" t="s">
        <v>499</v>
      </c>
      <c r="I127" s="74" t="s">
        <v>506</v>
      </c>
      <c r="J127" s="73" t="s">
        <v>501</v>
      </c>
      <c r="K127" s="85" t="s">
        <v>507</v>
      </c>
      <c r="L127" s="70" t="s">
        <v>502</v>
      </c>
    </row>
    <row r="128" spans="3:12" x14ac:dyDescent="0.25">
      <c r="C128" s="90"/>
      <c r="D128" s="500"/>
      <c r="E128" s="500"/>
      <c r="F128" s="500"/>
      <c r="G128" s="500"/>
      <c r="H128" s="97"/>
      <c r="I128" s="91"/>
      <c r="J128" s="92"/>
      <c r="K128" s="93"/>
      <c r="L128" s="82"/>
    </row>
    <row r="129" spans="3:12" x14ac:dyDescent="0.25">
      <c r="C129" s="90"/>
      <c r="D129" s="500"/>
      <c r="E129" s="500"/>
      <c r="F129" s="500"/>
      <c r="G129" s="500"/>
      <c r="H129" s="97"/>
      <c r="I129" s="91"/>
      <c r="J129" s="92"/>
      <c r="K129" s="93"/>
      <c r="L129" s="82"/>
    </row>
    <row r="130" spans="3:12" ht="13.5" thickBot="1" x14ac:dyDescent="0.3">
      <c r="C130" s="94"/>
      <c r="D130" s="485" t="s">
        <v>508</v>
      </c>
      <c r="E130" s="485"/>
      <c r="F130" s="485"/>
      <c r="G130" s="485"/>
      <c r="H130" s="485"/>
      <c r="I130" s="485"/>
      <c r="J130" s="485"/>
      <c r="K130" s="485"/>
      <c r="L130" s="84">
        <f>SUM(L128:L129)</f>
        <v>0</v>
      </c>
    </row>
    <row r="131" spans="3:12" ht="13.5" thickBot="1" x14ac:dyDescent="0.3">
      <c r="C131" s="486"/>
      <c r="D131" s="487"/>
      <c r="E131" s="487"/>
      <c r="F131" s="487"/>
      <c r="G131" s="487"/>
      <c r="H131" s="487"/>
      <c r="I131" s="487"/>
      <c r="J131" s="487"/>
      <c r="K131" s="487"/>
      <c r="L131" s="488"/>
    </row>
    <row r="132" spans="3:12" x14ac:dyDescent="0.25">
      <c r="C132" s="466" t="s">
        <v>509</v>
      </c>
      <c r="D132" s="467"/>
      <c r="E132" s="467"/>
      <c r="F132" s="467"/>
      <c r="G132" s="467"/>
      <c r="H132" s="467"/>
      <c r="I132" s="467"/>
      <c r="J132" s="467"/>
      <c r="K132" s="467"/>
      <c r="L132" s="468"/>
    </row>
    <row r="133" spans="3:12" x14ac:dyDescent="0.25">
      <c r="C133" s="72" t="s">
        <v>66</v>
      </c>
      <c r="D133" s="492" t="s">
        <v>498</v>
      </c>
      <c r="E133" s="492"/>
      <c r="F133" s="492"/>
      <c r="G133" s="492"/>
      <c r="H133" s="73" t="s">
        <v>506</v>
      </c>
      <c r="I133" s="73" t="s">
        <v>499</v>
      </c>
      <c r="J133" s="74" t="s">
        <v>510</v>
      </c>
      <c r="K133" s="85" t="s">
        <v>511</v>
      </c>
      <c r="L133" s="70" t="s">
        <v>502</v>
      </c>
    </row>
    <row r="134" spans="3:12" x14ac:dyDescent="0.25">
      <c r="C134" s="90"/>
      <c r="D134" s="493"/>
      <c r="E134" s="493"/>
      <c r="F134" s="493"/>
      <c r="G134" s="493"/>
      <c r="H134" s="76"/>
      <c r="I134" s="97"/>
      <c r="J134" s="97"/>
      <c r="K134" s="95"/>
      <c r="L134" s="96"/>
    </row>
    <row r="135" spans="3:12" x14ac:dyDescent="0.25">
      <c r="C135" s="90"/>
      <c r="D135" s="495"/>
      <c r="E135" s="495"/>
      <c r="F135" s="495"/>
      <c r="G135" s="495"/>
      <c r="H135" s="76"/>
      <c r="I135" s="97"/>
      <c r="J135" s="97"/>
      <c r="K135" s="95"/>
      <c r="L135" s="96"/>
    </row>
    <row r="136" spans="3:12" x14ac:dyDescent="0.25">
      <c r="C136" s="90"/>
      <c r="D136" s="495"/>
      <c r="E136" s="495"/>
      <c r="F136" s="495"/>
      <c r="G136" s="495"/>
      <c r="H136" s="76"/>
      <c r="I136" s="97"/>
      <c r="J136" s="97"/>
      <c r="K136" s="95"/>
      <c r="L136" s="96"/>
    </row>
    <row r="137" spans="3:12" s="116" customFormat="1" ht="13.5" thickBot="1" x14ac:dyDescent="0.3">
      <c r="C137" s="83"/>
      <c r="D137" s="485" t="s">
        <v>512</v>
      </c>
      <c r="E137" s="485"/>
      <c r="F137" s="485"/>
      <c r="G137" s="485"/>
      <c r="H137" s="485"/>
      <c r="I137" s="485"/>
      <c r="J137" s="485"/>
      <c r="K137" s="485"/>
      <c r="L137" s="98">
        <f>L134</f>
        <v>0</v>
      </c>
    </row>
    <row r="138" spans="3:12" s="116" customFormat="1" ht="13.5" thickBot="1" x14ac:dyDescent="0.3">
      <c r="C138" s="477"/>
      <c r="D138" s="478"/>
      <c r="E138" s="478"/>
      <c r="F138" s="478"/>
      <c r="G138" s="478"/>
      <c r="H138" s="478"/>
      <c r="I138" s="478"/>
      <c r="J138" s="478"/>
      <c r="K138" s="478"/>
      <c r="L138" s="479"/>
    </row>
    <row r="139" spans="3:12" x14ac:dyDescent="0.25">
      <c r="C139" s="466" t="s">
        <v>513</v>
      </c>
      <c r="D139" s="467"/>
      <c r="E139" s="467"/>
      <c r="F139" s="467"/>
      <c r="G139" s="467"/>
      <c r="H139" s="467"/>
      <c r="I139" s="467"/>
      <c r="J139" s="467"/>
      <c r="K139" s="467"/>
      <c r="L139" s="468"/>
    </row>
    <row r="140" spans="3:12" x14ac:dyDescent="0.25">
      <c r="C140" s="72" t="s">
        <v>66</v>
      </c>
      <c r="D140" s="492" t="s">
        <v>498</v>
      </c>
      <c r="E140" s="492"/>
      <c r="F140" s="85" t="s">
        <v>499</v>
      </c>
      <c r="G140" s="85" t="s">
        <v>506</v>
      </c>
      <c r="H140" s="73" t="s">
        <v>514</v>
      </c>
      <c r="I140" s="99" t="s">
        <v>515</v>
      </c>
      <c r="J140" s="85" t="s">
        <v>516</v>
      </c>
      <c r="K140" s="99" t="s">
        <v>517</v>
      </c>
      <c r="L140" s="100" t="s">
        <v>502</v>
      </c>
    </row>
    <row r="141" spans="3:12" x14ac:dyDescent="0.25">
      <c r="C141" s="79" t="s">
        <v>519</v>
      </c>
      <c r="D141" s="460" t="str">
        <f>'MANO DE OBRA'!$B$3</f>
        <v>Ayudante</v>
      </c>
      <c r="E141" s="461"/>
      <c r="F141" s="97" t="str">
        <f>'MANO DE OBRA'!$C$3</f>
        <v>DIA</v>
      </c>
      <c r="G141" s="76">
        <v>3</v>
      </c>
      <c r="H141" s="101">
        <f>'MANO DE OBRA'!$D$3</f>
        <v>28981.77</v>
      </c>
      <c r="I141" s="102">
        <v>0.75649999999999995</v>
      </c>
      <c r="J141" s="103">
        <f>(H141+(H141*I141))</f>
        <v>50906.479005000001</v>
      </c>
      <c r="K141" s="76">
        <v>4.6390383566581548</v>
      </c>
      <c r="L141" s="96">
        <f>G141*(J141/K141)</f>
        <v>32920.494566683257</v>
      </c>
    </row>
    <row r="142" spans="3:12" x14ac:dyDescent="0.25">
      <c r="C142" s="79"/>
      <c r="D142" s="460"/>
      <c r="E142" s="461"/>
      <c r="F142" s="97"/>
      <c r="G142" s="76"/>
      <c r="H142" s="101"/>
      <c r="I142" s="102"/>
      <c r="J142" s="103"/>
      <c r="K142" s="76"/>
      <c r="L142" s="96"/>
    </row>
    <row r="143" spans="3:12" x14ac:dyDescent="0.25">
      <c r="C143" s="90"/>
      <c r="D143" s="493"/>
      <c r="E143" s="493"/>
      <c r="F143" s="97"/>
      <c r="G143" s="76"/>
      <c r="H143" s="101"/>
      <c r="I143" s="102"/>
      <c r="J143" s="103"/>
      <c r="K143" s="76"/>
      <c r="L143" s="96"/>
    </row>
    <row r="144" spans="3:12" s="116" customFormat="1" ht="13.5" thickBot="1" x14ac:dyDescent="0.3">
      <c r="C144" s="83"/>
      <c r="D144" s="485" t="s">
        <v>520</v>
      </c>
      <c r="E144" s="485"/>
      <c r="F144" s="485"/>
      <c r="G144" s="485"/>
      <c r="H144" s="485"/>
      <c r="I144" s="485"/>
      <c r="J144" s="485"/>
      <c r="K144" s="485"/>
      <c r="L144" s="98">
        <f>L142+L141</f>
        <v>32920.494566683257</v>
      </c>
    </row>
    <row r="145" spans="3:12" ht="13.5" thickBot="1" x14ac:dyDescent="0.3">
      <c r="C145" s="486"/>
      <c r="D145" s="487"/>
      <c r="E145" s="487"/>
      <c r="F145" s="487"/>
      <c r="G145" s="487"/>
      <c r="H145" s="487"/>
      <c r="I145" s="487"/>
      <c r="J145" s="487"/>
      <c r="K145" s="487"/>
      <c r="L145" s="488"/>
    </row>
    <row r="146" spans="3:12" ht="13.5" thickBot="1" x14ac:dyDescent="0.3">
      <c r="C146" s="489" t="s">
        <v>521</v>
      </c>
      <c r="D146" s="490"/>
      <c r="E146" s="490"/>
      <c r="F146" s="490"/>
      <c r="G146" s="490"/>
      <c r="H146" s="490"/>
      <c r="I146" s="490"/>
      <c r="J146" s="491"/>
      <c r="K146" s="145">
        <f>ROUND(L144+L137+L130+L124,0)</f>
        <v>67400</v>
      </c>
      <c r="L146" s="146"/>
    </row>
    <row r="148" spans="3:12" ht="13.5" thickBot="1" x14ac:dyDescent="0.3"/>
    <row r="149" spans="3:12" s="116" customFormat="1" x14ac:dyDescent="0.25">
      <c r="C149" s="466" t="s">
        <v>495</v>
      </c>
      <c r="D149" s="467"/>
      <c r="E149" s="467"/>
      <c r="F149" s="467"/>
      <c r="G149" s="467"/>
      <c r="H149" s="467"/>
      <c r="I149" s="467"/>
      <c r="J149" s="467"/>
      <c r="K149" s="467"/>
      <c r="L149" s="468"/>
    </row>
    <row r="150" spans="3:12" s="116" customFormat="1" ht="12.75" customHeight="1" x14ac:dyDescent="0.25">
      <c r="C150" s="469" t="str">
        <f>+PPTO!A2</f>
        <v>REPOSICION E INSTALACION VALVULAS DE SECTORIZACION EN DIFERENTES SECTORES DEL MUNICIPIO DE PIEDECUESTA - SANTANDER.</v>
      </c>
      <c r="D150" s="470"/>
      <c r="E150" s="470"/>
      <c r="F150" s="470"/>
      <c r="G150" s="470"/>
      <c r="H150" s="470"/>
      <c r="I150" s="470"/>
      <c r="J150" s="470"/>
      <c r="K150" s="470"/>
      <c r="L150" s="471"/>
    </row>
    <row r="151" spans="3:12" x14ac:dyDescent="0.25">
      <c r="C151" s="472" t="s">
        <v>496</v>
      </c>
      <c r="D151" s="141">
        <f>+PPTO!A10</f>
        <v>2</v>
      </c>
      <c r="E151" s="474" t="str">
        <f>+PPTO!B10</f>
        <v>MOVIMIENTO DE  TIERRAS</v>
      </c>
      <c r="F151" s="475"/>
      <c r="G151" s="475"/>
      <c r="H151" s="475"/>
      <c r="I151" s="475"/>
      <c r="J151" s="475"/>
      <c r="K151" s="475"/>
      <c r="L151" s="70" t="s">
        <v>52</v>
      </c>
    </row>
    <row r="152" spans="3:12" ht="12.75" customHeight="1" thickBot="1" x14ac:dyDescent="0.3">
      <c r="C152" s="473"/>
      <c r="D152" s="120">
        <f>+PPTO!A11</f>
        <v>2.0099999999999998</v>
      </c>
      <c r="E152" s="476" t="str">
        <f>+PPTO!B11</f>
        <v>Excavaciones en material comun y/o conglomerado sin entibados Prof=0-2,50 mts</v>
      </c>
      <c r="F152" s="476"/>
      <c r="G152" s="476"/>
      <c r="H152" s="476"/>
      <c r="I152" s="476"/>
      <c r="J152" s="476"/>
      <c r="K152" s="476"/>
      <c r="L152" s="71" t="str">
        <f>+PPTO!C11</f>
        <v>M3</v>
      </c>
    </row>
    <row r="153" spans="3:12" ht="13.5" thickBot="1" x14ac:dyDescent="0.3">
      <c r="C153" s="477"/>
      <c r="D153" s="478"/>
      <c r="E153" s="478"/>
      <c r="F153" s="478"/>
      <c r="G153" s="478"/>
      <c r="H153" s="478"/>
      <c r="I153" s="478"/>
      <c r="J153" s="478"/>
      <c r="K153" s="478"/>
      <c r="L153" s="479"/>
    </row>
    <row r="154" spans="3:12" x14ac:dyDescent="0.25">
      <c r="C154" s="466" t="s">
        <v>497</v>
      </c>
      <c r="D154" s="467"/>
      <c r="E154" s="467"/>
      <c r="F154" s="467"/>
      <c r="G154" s="467"/>
      <c r="H154" s="467"/>
      <c r="I154" s="467"/>
      <c r="J154" s="467"/>
      <c r="K154" s="467"/>
      <c r="L154" s="468"/>
    </row>
    <row r="155" spans="3:12" x14ac:dyDescent="0.25">
      <c r="C155" s="72" t="s">
        <v>66</v>
      </c>
      <c r="D155" s="492" t="s">
        <v>498</v>
      </c>
      <c r="E155" s="492"/>
      <c r="F155" s="492"/>
      <c r="G155" s="492"/>
      <c r="H155" s="492"/>
      <c r="I155" s="73" t="s">
        <v>499</v>
      </c>
      <c r="J155" s="74" t="s">
        <v>500</v>
      </c>
      <c r="K155" s="73" t="s">
        <v>501</v>
      </c>
      <c r="L155" s="70" t="s">
        <v>502</v>
      </c>
    </row>
    <row r="156" spans="3:12" x14ac:dyDescent="0.25">
      <c r="C156" s="75"/>
      <c r="D156" s="460"/>
      <c r="E156" s="499"/>
      <c r="F156" s="499"/>
      <c r="G156" s="499"/>
      <c r="H156" s="461"/>
      <c r="I156" s="76"/>
      <c r="J156" s="76"/>
      <c r="K156" s="77"/>
      <c r="L156" s="82"/>
    </row>
    <row r="157" spans="3:12" x14ac:dyDescent="0.25">
      <c r="C157" s="79"/>
      <c r="D157" s="493" t="s">
        <v>503</v>
      </c>
      <c r="E157" s="493"/>
      <c r="F157" s="493"/>
      <c r="G157" s="493"/>
      <c r="H157" s="493"/>
      <c r="I157" s="76" t="s">
        <v>61</v>
      </c>
      <c r="J157" s="80">
        <v>1</v>
      </c>
      <c r="K157" s="81">
        <f>L178*0.1</f>
        <v>2454.5472615555391</v>
      </c>
      <c r="L157" s="82">
        <f>K157/J157</f>
        <v>2454.5472615555391</v>
      </c>
    </row>
    <row r="158" spans="3:12" x14ac:dyDescent="0.25">
      <c r="C158" s="79"/>
      <c r="D158" s="493"/>
      <c r="E158" s="493"/>
      <c r="F158" s="493"/>
      <c r="G158" s="493"/>
      <c r="H158" s="493"/>
      <c r="I158" s="76"/>
      <c r="J158" s="76"/>
      <c r="K158" s="81"/>
      <c r="L158" s="82"/>
    </row>
    <row r="159" spans="3:12" s="116" customFormat="1" ht="13.5" thickBot="1" x14ac:dyDescent="0.3">
      <c r="C159" s="83"/>
      <c r="D159" s="485" t="s">
        <v>504</v>
      </c>
      <c r="E159" s="485"/>
      <c r="F159" s="485"/>
      <c r="G159" s="485"/>
      <c r="H159" s="485"/>
      <c r="I159" s="485"/>
      <c r="J159" s="485"/>
      <c r="K159" s="485"/>
      <c r="L159" s="84">
        <f>L157+L156</f>
        <v>2454.5472615555391</v>
      </c>
    </row>
    <row r="160" spans="3:12" s="116" customFormat="1" ht="13.5" thickBot="1" x14ac:dyDescent="0.3">
      <c r="C160" s="477"/>
      <c r="D160" s="478"/>
      <c r="E160" s="478"/>
      <c r="F160" s="478"/>
      <c r="G160" s="478"/>
      <c r="H160" s="478"/>
      <c r="I160" s="478"/>
      <c r="J160" s="478"/>
      <c r="K160" s="478"/>
      <c r="L160" s="479"/>
    </row>
    <row r="161" spans="3:12" x14ac:dyDescent="0.25">
      <c r="C161" s="466" t="s">
        <v>505</v>
      </c>
      <c r="D161" s="467"/>
      <c r="E161" s="467"/>
      <c r="F161" s="467"/>
      <c r="G161" s="467"/>
      <c r="H161" s="467"/>
      <c r="I161" s="467"/>
      <c r="J161" s="467"/>
      <c r="K161" s="467"/>
      <c r="L161" s="468"/>
    </row>
    <row r="162" spans="3:12" ht="25.5" x14ac:dyDescent="0.25">
      <c r="C162" s="72" t="s">
        <v>66</v>
      </c>
      <c r="D162" s="492" t="s">
        <v>498</v>
      </c>
      <c r="E162" s="492"/>
      <c r="F162" s="492"/>
      <c r="G162" s="492"/>
      <c r="H162" s="73" t="s">
        <v>499</v>
      </c>
      <c r="I162" s="74" t="s">
        <v>506</v>
      </c>
      <c r="J162" s="73" t="s">
        <v>501</v>
      </c>
      <c r="K162" s="85" t="s">
        <v>507</v>
      </c>
      <c r="L162" s="70" t="s">
        <v>502</v>
      </c>
    </row>
    <row r="163" spans="3:12" ht="12.75" customHeight="1" x14ac:dyDescent="0.25">
      <c r="C163" s="72"/>
      <c r="D163" s="498"/>
      <c r="E163" s="496"/>
      <c r="F163" s="496"/>
      <c r="G163" s="497"/>
      <c r="H163" s="73"/>
      <c r="I163" s="76"/>
      <c r="J163" s="86"/>
      <c r="K163" s="87"/>
      <c r="L163" s="88"/>
    </row>
    <row r="164" spans="3:12" x14ac:dyDescent="0.25">
      <c r="C164" s="90"/>
      <c r="D164" s="500"/>
      <c r="E164" s="500"/>
      <c r="F164" s="500"/>
      <c r="G164" s="500"/>
      <c r="H164" s="97"/>
      <c r="I164" s="91"/>
      <c r="J164" s="92"/>
      <c r="K164" s="93"/>
      <c r="L164" s="82"/>
    </row>
    <row r="165" spans="3:12" ht="13.5" thickBot="1" x14ac:dyDescent="0.3">
      <c r="C165" s="94"/>
      <c r="D165" s="485" t="s">
        <v>508</v>
      </c>
      <c r="E165" s="485"/>
      <c r="F165" s="485"/>
      <c r="G165" s="485"/>
      <c r="H165" s="485"/>
      <c r="I165" s="485"/>
      <c r="J165" s="485"/>
      <c r="K165" s="485"/>
      <c r="L165" s="84">
        <f>SUM(L163:L164)</f>
        <v>0</v>
      </c>
    </row>
    <row r="166" spans="3:12" ht="13.5" thickBot="1" x14ac:dyDescent="0.3">
      <c r="C166" s="486"/>
      <c r="D166" s="487"/>
      <c r="E166" s="487"/>
      <c r="F166" s="487"/>
      <c r="G166" s="487"/>
      <c r="H166" s="487"/>
      <c r="I166" s="487"/>
      <c r="J166" s="487"/>
      <c r="K166" s="487"/>
      <c r="L166" s="488"/>
    </row>
    <row r="167" spans="3:12" x14ac:dyDescent="0.25">
      <c r="C167" s="466" t="s">
        <v>509</v>
      </c>
      <c r="D167" s="467"/>
      <c r="E167" s="467"/>
      <c r="F167" s="467"/>
      <c r="G167" s="467"/>
      <c r="H167" s="467"/>
      <c r="I167" s="467"/>
      <c r="J167" s="467"/>
      <c r="K167" s="467"/>
      <c r="L167" s="468"/>
    </row>
    <row r="168" spans="3:12" x14ac:dyDescent="0.25">
      <c r="C168" s="72" t="s">
        <v>66</v>
      </c>
      <c r="D168" s="492" t="s">
        <v>498</v>
      </c>
      <c r="E168" s="492"/>
      <c r="F168" s="492"/>
      <c r="G168" s="492"/>
      <c r="H168" s="73" t="s">
        <v>506</v>
      </c>
      <c r="I168" s="73" t="s">
        <v>499</v>
      </c>
      <c r="J168" s="74" t="s">
        <v>510</v>
      </c>
      <c r="K168" s="85" t="s">
        <v>511</v>
      </c>
      <c r="L168" s="70" t="s">
        <v>502</v>
      </c>
    </row>
    <row r="169" spans="3:12" x14ac:dyDescent="0.25">
      <c r="C169" s="90"/>
      <c r="D169" s="494"/>
      <c r="E169" s="494"/>
      <c r="F169" s="494"/>
      <c r="G169" s="494"/>
      <c r="H169" s="76"/>
      <c r="I169" s="97"/>
      <c r="J169" s="139"/>
      <c r="K169" s="95"/>
      <c r="L169" s="96"/>
    </row>
    <row r="170" spans="3:12" ht="30.75" customHeight="1" x14ac:dyDescent="0.25">
      <c r="C170" s="90"/>
      <c r="D170" s="495"/>
      <c r="E170" s="495"/>
      <c r="F170" s="495"/>
      <c r="G170" s="495"/>
      <c r="H170" s="76"/>
      <c r="I170" s="97"/>
      <c r="J170" s="97"/>
      <c r="K170" s="95"/>
      <c r="L170" s="96"/>
    </row>
    <row r="171" spans="3:12" ht="13.5" thickBot="1" x14ac:dyDescent="0.3">
      <c r="C171" s="83"/>
      <c r="D171" s="485" t="s">
        <v>512</v>
      </c>
      <c r="E171" s="485"/>
      <c r="F171" s="485"/>
      <c r="G171" s="485"/>
      <c r="H171" s="485"/>
      <c r="I171" s="485"/>
      <c r="J171" s="485"/>
      <c r="K171" s="485"/>
      <c r="L171" s="98">
        <f>L169</f>
        <v>0</v>
      </c>
    </row>
    <row r="172" spans="3:12" ht="13.5" thickBot="1" x14ac:dyDescent="0.3">
      <c r="C172" s="477"/>
      <c r="D172" s="478"/>
      <c r="E172" s="478"/>
      <c r="F172" s="478"/>
      <c r="G172" s="478"/>
      <c r="H172" s="478"/>
      <c r="I172" s="478"/>
      <c r="J172" s="478"/>
      <c r="K172" s="478"/>
      <c r="L172" s="479"/>
    </row>
    <row r="173" spans="3:12" s="116" customFormat="1" x14ac:dyDescent="0.25">
      <c r="C173" s="466" t="s">
        <v>513</v>
      </c>
      <c r="D173" s="467"/>
      <c r="E173" s="467"/>
      <c r="F173" s="467"/>
      <c r="G173" s="467"/>
      <c r="H173" s="467"/>
      <c r="I173" s="467"/>
      <c r="J173" s="467"/>
      <c r="K173" s="467"/>
      <c r="L173" s="468"/>
    </row>
    <row r="174" spans="3:12" s="116" customFormat="1" x14ac:dyDescent="0.25">
      <c r="C174" s="72" t="s">
        <v>66</v>
      </c>
      <c r="D174" s="492" t="s">
        <v>498</v>
      </c>
      <c r="E174" s="492"/>
      <c r="F174" s="85" t="s">
        <v>499</v>
      </c>
      <c r="G174" s="85" t="s">
        <v>506</v>
      </c>
      <c r="H174" s="73" t="s">
        <v>514</v>
      </c>
      <c r="I174" s="99" t="s">
        <v>515</v>
      </c>
      <c r="J174" s="85" t="s">
        <v>516</v>
      </c>
      <c r="K174" s="99" t="s">
        <v>517</v>
      </c>
      <c r="L174" s="100" t="s">
        <v>502</v>
      </c>
    </row>
    <row r="175" spans="3:12" x14ac:dyDescent="0.25">
      <c r="C175" s="79"/>
      <c r="D175" s="460"/>
      <c r="E175" s="461"/>
      <c r="F175" s="97"/>
      <c r="G175" s="76"/>
      <c r="H175" s="101"/>
      <c r="I175" s="102"/>
      <c r="J175" s="103"/>
      <c r="K175" s="76"/>
      <c r="L175" s="96"/>
    </row>
    <row r="176" spans="3:12" x14ac:dyDescent="0.25">
      <c r="C176" s="79" t="s">
        <v>519</v>
      </c>
      <c r="D176" s="460" t="str">
        <f>'MANO DE OBRA'!$B$3</f>
        <v>Ayudante</v>
      </c>
      <c r="E176" s="461"/>
      <c r="F176" s="97" t="str">
        <f>'MANO DE OBRA'!$C$3</f>
        <v>DIA</v>
      </c>
      <c r="G176" s="76">
        <v>5</v>
      </c>
      <c r="H176" s="101">
        <f>'MANO DE OBRA'!$D$3</f>
        <v>28981.77</v>
      </c>
      <c r="I176" s="102">
        <v>0.75649999999999995</v>
      </c>
      <c r="J176" s="103">
        <f>(H176+(H176*I176))</f>
        <v>50906.479005000001</v>
      </c>
      <c r="K176" s="139">
        <v>10.369830681675008</v>
      </c>
      <c r="L176" s="96">
        <f>G176*(J176/K176)</f>
        <v>24545.472615555391</v>
      </c>
    </row>
    <row r="177" spans="3:12" x14ac:dyDescent="0.25">
      <c r="C177" s="90"/>
      <c r="D177" s="493"/>
      <c r="E177" s="493"/>
      <c r="F177" s="97"/>
      <c r="G177" s="76"/>
      <c r="H177" s="101"/>
      <c r="I177" s="102"/>
      <c r="J177" s="103"/>
      <c r="K177" s="76"/>
      <c r="L177" s="96"/>
    </row>
    <row r="178" spans="3:12" ht="13.5" thickBot="1" x14ac:dyDescent="0.3">
      <c r="C178" s="83"/>
      <c r="D178" s="485" t="s">
        <v>520</v>
      </c>
      <c r="E178" s="485"/>
      <c r="F178" s="485"/>
      <c r="G178" s="485"/>
      <c r="H178" s="485"/>
      <c r="I178" s="485"/>
      <c r="J178" s="485"/>
      <c r="K178" s="485"/>
      <c r="L178" s="98">
        <f>L176+L175</f>
        <v>24545.472615555391</v>
      </c>
    </row>
    <row r="179" spans="3:12" ht="13.5" thickBot="1" x14ac:dyDescent="0.3">
      <c r="C179" s="486"/>
      <c r="D179" s="487"/>
      <c r="E179" s="487"/>
      <c r="F179" s="487"/>
      <c r="G179" s="487"/>
      <c r="H179" s="487"/>
      <c r="I179" s="487"/>
      <c r="J179" s="487"/>
      <c r="K179" s="487"/>
      <c r="L179" s="488"/>
    </row>
    <row r="180" spans="3:12" s="116" customFormat="1" ht="13.5" thickBot="1" x14ac:dyDescent="0.3">
      <c r="C180" s="489" t="s">
        <v>521</v>
      </c>
      <c r="D180" s="490"/>
      <c r="E180" s="490"/>
      <c r="F180" s="490"/>
      <c r="G180" s="490"/>
      <c r="H180" s="490"/>
      <c r="I180" s="490"/>
      <c r="J180" s="491"/>
      <c r="K180" s="145">
        <f>ROUND(L178+L171+L165+L159,0)</f>
        <v>27000</v>
      </c>
      <c r="L180" s="146"/>
    </row>
    <row r="182" spans="3:12" ht="13.5" thickBot="1" x14ac:dyDescent="0.3"/>
    <row r="183" spans="3:12" s="116" customFormat="1" x14ac:dyDescent="0.25">
      <c r="C183" s="466" t="s">
        <v>495</v>
      </c>
      <c r="D183" s="467"/>
      <c r="E183" s="467"/>
      <c r="F183" s="467"/>
      <c r="G183" s="467"/>
      <c r="H183" s="467"/>
      <c r="I183" s="467"/>
      <c r="J183" s="467"/>
      <c r="K183" s="467"/>
      <c r="L183" s="468"/>
    </row>
    <row r="184" spans="3:12" s="116" customFormat="1" ht="12.75" customHeight="1" x14ac:dyDescent="0.25">
      <c r="C184" s="469" t="str">
        <f>+PPTO!A2</f>
        <v>REPOSICION E INSTALACION VALVULAS DE SECTORIZACION EN DIFERENTES SECTORES DEL MUNICIPIO DE PIEDECUESTA - SANTANDER.</v>
      </c>
      <c r="D184" s="470"/>
      <c r="E184" s="470"/>
      <c r="F184" s="470"/>
      <c r="G184" s="470"/>
      <c r="H184" s="470"/>
      <c r="I184" s="470"/>
      <c r="J184" s="470"/>
      <c r="K184" s="470"/>
      <c r="L184" s="471"/>
    </row>
    <row r="185" spans="3:12" x14ac:dyDescent="0.25">
      <c r="C185" s="472" t="s">
        <v>496</v>
      </c>
      <c r="D185" s="141">
        <f>+PPTO!A10</f>
        <v>2</v>
      </c>
      <c r="E185" s="474" t="str">
        <f>+PPTO!B10</f>
        <v>MOVIMIENTO DE  TIERRAS</v>
      </c>
      <c r="F185" s="475"/>
      <c r="G185" s="475"/>
      <c r="H185" s="475"/>
      <c r="I185" s="475"/>
      <c r="J185" s="475"/>
      <c r="K185" s="475"/>
      <c r="L185" s="70" t="s">
        <v>52</v>
      </c>
    </row>
    <row r="186" spans="3:12" ht="12.75" customHeight="1" thickBot="1" x14ac:dyDescent="0.3">
      <c r="C186" s="473"/>
      <c r="D186" s="120">
        <f>+PPTO!A12</f>
        <v>2.02</v>
      </c>
      <c r="E186" s="476" t="str">
        <f>+PPTO!B12</f>
        <v>Relleno en material común compactado</v>
      </c>
      <c r="F186" s="476"/>
      <c r="G186" s="476"/>
      <c r="H186" s="476"/>
      <c r="I186" s="476"/>
      <c r="J186" s="476"/>
      <c r="K186" s="476"/>
      <c r="L186" s="71" t="str">
        <f>+PPTO!C12</f>
        <v>M3</v>
      </c>
    </row>
    <row r="187" spans="3:12" ht="13.5" thickBot="1" x14ac:dyDescent="0.3">
      <c r="C187" s="477"/>
      <c r="D187" s="478"/>
      <c r="E187" s="478"/>
      <c r="F187" s="478"/>
      <c r="G187" s="478"/>
      <c r="H187" s="478"/>
      <c r="I187" s="478"/>
      <c r="J187" s="478"/>
      <c r="K187" s="478"/>
      <c r="L187" s="479"/>
    </row>
    <row r="188" spans="3:12" x14ac:dyDescent="0.25">
      <c r="C188" s="466" t="s">
        <v>497</v>
      </c>
      <c r="D188" s="467"/>
      <c r="E188" s="467"/>
      <c r="F188" s="467"/>
      <c r="G188" s="467"/>
      <c r="H188" s="467"/>
      <c r="I188" s="467"/>
      <c r="J188" s="467"/>
      <c r="K188" s="467"/>
      <c r="L188" s="468"/>
    </row>
    <row r="189" spans="3:12" x14ac:dyDescent="0.25">
      <c r="C189" s="72" t="s">
        <v>66</v>
      </c>
      <c r="D189" s="492" t="s">
        <v>498</v>
      </c>
      <c r="E189" s="492"/>
      <c r="F189" s="492"/>
      <c r="G189" s="492"/>
      <c r="H189" s="492"/>
      <c r="I189" s="73" t="s">
        <v>499</v>
      </c>
      <c r="J189" s="74" t="s">
        <v>500</v>
      </c>
      <c r="K189" s="73" t="s">
        <v>501</v>
      </c>
      <c r="L189" s="70" t="s">
        <v>502</v>
      </c>
    </row>
    <row r="190" spans="3:12" x14ac:dyDescent="0.25">
      <c r="C190" s="75" t="s">
        <v>10</v>
      </c>
      <c r="D190" s="460" t="str">
        <f>+EQUIPO!B6</f>
        <v>Vibrocompactador (rana)</v>
      </c>
      <c r="E190" s="499"/>
      <c r="F190" s="499"/>
      <c r="G190" s="499"/>
      <c r="H190" s="461"/>
      <c r="I190" s="76" t="str">
        <f>+EQUIPO!C6</f>
        <v>día</v>
      </c>
      <c r="J190" s="76">
        <v>9</v>
      </c>
      <c r="K190" s="77">
        <f>+EQUIPO!D6</f>
        <v>60000</v>
      </c>
      <c r="L190" s="82">
        <f>K190/J190</f>
        <v>6666.666666666667</v>
      </c>
    </row>
    <row r="191" spans="3:12" x14ac:dyDescent="0.25">
      <c r="C191" s="79"/>
      <c r="D191" s="493" t="s">
        <v>503</v>
      </c>
      <c r="E191" s="493"/>
      <c r="F191" s="493"/>
      <c r="G191" s="493"/>
      <c r="H191" s="493"/>
      <c r="I191" s="76" t="s">
        <v>61</v>
      </c>
      <c r="J191" s="80">
        <v>1</v>
      </c>
      <c r="K191" s="81">
        <f>L213*0.1</f>
        <v>2084.835699750121</v>
      </c>
      <c r="L191" s="82">
        <f>K191/J191</f>
        <v>2084.835699750121</v>
      </c>
    </row>
    <row r="192" spans="3:12" x14ac:dyDescent="0.25">
      <c r="C192" s="79"/>
      <c r="D192" s="493"/>
      <c r="E192" s="493"/>
      <c r="F192" s="493"/>
      <c r="G192" s="493"/>
      <c r="H192" s="493"/>
      <c r="I192" s="76"/>
      <c r="J192" s="76"/>
      <c r="K192" s="81"/>
      <c r="L192" s="82"/>
    </row>
    <row r="193" spans="3:12" s="116" customFormat="1" ht="13.5" thickBot="1" x14ac:dyDescent="0.3">
      <c r="C193" s="83"/>
      <c r="D193" s="485" t="s">
        <v>504</v>
      </c>
      <c r="E193" s="485"/>
      <c r="F193" s="485"/>
      <c r="G193" s="485"/>
      <c r="H193" s="485"/>
      <c r="I193" s="485"/>
      <c r="J193" s="485"/>
      <c r="K193" s="485"/>
      <c r="L193" s="84">
        <f>L191+L190</f>
        <v>8751.5023664167875</v>
      </c>
    </row>
    <row r="194" spans="3:12" s="116" customFormat="1" ht="13.5" thickBot="1" x14ac:dyDescent="0.3">
      <c r="C194" s="477"/>
      <c r="D194" s="478"/>
      <c r="E194" s="478"/>
      <c r="F194" s="478"/>
      <c r="G194" s="478"/>
      <c r="H194" s="478"/>
      <c r="I194" s="478"/>
      <c r="J194" s="478"/>
      <c r="K194" s="478"/>
      <c r="L194" s="479"/>
    </row>
    <row r="195" spans="3:12" x14ac:dyDescent="0.25">
      <c r="C195" s="466" t="s">
        <v>505</v>
      </c>
      <c r="D195" s="467"/>
      <c r="E195" s="467"/>
      <c r="F195" s="467"/>
      <c r="G195" s="467"/>
      <c r="H195" s="467"/>
      <c r="I195" s="467"/>
      <c r="J195" s="467"/>
      <c r="K195" s="467"/>
      <c r="L195" s="468"/>
    </row>
    <row r="196" spans="3:12" ht="25.5" x14ac:dyDescent="0.25">
      <c r="C196" s="72" t="s">
        <v>66</v>
      </c>
      <c r="D196" s="492" t="s">
        <v>498</v>
      </c>
      <c r="E196" s="492"/>
      <c r="F196" s="492"/>
      <c r="G196" s="492"/>
      <c r="H196" s="73" t="s">
        <v>499</v>
      </c>
      <c r="I196" s="74" t="s">
        <v>506</v>
      </c>
      <c r="J196" s="73" t="s">
        <v>501</v>
      </c>
      <c r="K196" s="85" t="s">
        <v>507</v>
      </c>
      <c r="L196" s="70" t="s">
        <v>502</v>
      </c>
    </row>
    <row r="197" spans="3:12" ht="12.75" customHeight="1" x14ac:dyDescent="0.25">
      <c r="C197" s="72"/>
      <c r="D197" s="498"/>
      <c r="E197" s="496"/>
      <c r="F197" s="496"/>
      <c r="G197" s="497"/>
      <c r="H197" s="73"/>
      <c r="I197" s="76"/>
      <c r="J197" s="86"/>
      <c r="K197" s="87"/>
      <c r="L197" s="88"/>
    </row>
    <row r="198" spans="3:12" x14ac:dyDescent="0.25">
      <c r="C198" s="90"/>
      <c r="D198" s="500"/>
      <c r="E198" s="500"/>
      <c r="F198" s="500"/>
      <c r="G198" s="500"/>
      <c r="H198" s="97"/>
      <c r="I198" s="91"/>
      <c r="J198" s="92"/>
      <c r="K198" s="93"/>
      <c r="L198" s="82"/>
    </row>
    <row r="199" spans="3:12" ht="13.5" thickBot="1" x14ac:dyDescent="0.3">
      <c r="C199" s="94"/>
      <c r="D199" s="485" t="s">
        <v>508</v>
      </c>
      <c r="E199" s="485"/>
      <c r="F199" s="485"/>
      <c r="G199" s="485"/>
      <c r="H199" s="485"/>
      <c r="I199" s="485"/>
      <c r="J199" s="485"/>
      <c r="K199" s="485"/>
      <c r="L199" s="84">
        <f>SUM(L197:L198)</f>
        <v>0</v>
      </c>
    </row>
    <row r="200" spans="3:12" ht="13.5" thickBot="1" x14ac:dyDescent="0.3">
      <c r="C200" s="486"/>
      <c r="D200" s="487"/>
      <c r="E200" s="487"/>
      <c r="F200" s="487"/>
      <c r="G200" s="487"/>
      <c r="H200" s="487"/>
      <c r="I200" s="487"/>
      <c r="J200" s="487"/>
      <c r="K200" s="487"/>
      <c r="L200" s="488"/>
    </row>
    <row r="201" spans="3:12" x14ac:dyDescent="0.25">
      <c r="C201" s="466" t="s">
        <v>509</v>
      </c>
      <c r="D201" s="467"/>
      <c r="E201" s="467"/>
      <c r="F201" s="467"/>
      <c r="G201" s="467"/>
      <c r="H201" s="467"/>
      <c r="I201" s="467"/>
      <c r="J201" s="467"/>
      <c r="K201" s="467"/>
      <c r="L201" s="468"/>
    </row>
    <row r="202" spans="3:12" x14ac:dyDescent="0.25">
      <c r="C202" s="72" t="s">
        <v>66</v>
      </c>
      <c r="D202" s="492" t="s">
        <v>498</v>
      </c>
      <c r="E202" s="492"/>
      <c r="F202" s="492"/>
      <c r="G202" s="492"/>
      <c r="H202" s="73" t="s">
        <v>506</v>
      </c>
      <c r="I202" s="73" t="s">
        <v>499</v>
      </c>
      <c r="J202" s="74" t="s">
        <v>510</v>
      </c>
      <c r="K202" s="85" t="s">
        <v>511</v>
      </c>
      <c r="L202" s="70" t="s">
        <v>502</v>
      </c>
    </row>
    <row r="203" spans="3:12" x14ac:dyDescent="0.25">
      <c r="C203" s="90"/>
      <c r="D203" s="494"/>
      <c r="E203" s="494"/>
      <c r="F203" s="494"/>
      <c r="G203" s="494"/>
      <c r="H203" s="76"/>
      <c r="I203" s="97"/>
      <c r="J203" s="97"/>
      <c r="K203" s="95"/>
      <c r="L203" s="96"/>
    </row>
    <row r="204" spans="3:12" x14ac:dyDescent="0.25">
      <c r="C204" s="90"/>
      <c r="D204" s="495"/>
      <c r="E204" s="495"/>
      <c r="F204" s="495"/>
      <c r="G204" s="495"/>
      <c r="H204" s="76"/>
      <c r="I204" s="97"/>
      <c r="J204" s="97"/>
      <c r="K204" s="95"/>
      <c r="L204" s="96"/>
    </row>
    <row r="205" spans="3:12" x14ac:dyDescent="0.25">
      <c r="C205" s="90"/>
      <c r="D205" s="495"/>
      <c r="E205" s="495"/>
      <c r="F205" s="495"/>
      <c r="G205" s="495"/>
      <c r="H205" s="76"/>
      <c r="I205" s="97"/>
      <c r="J205" s="97"/>
      <c r="K205" s="95"/>
      <c r="L205" s="96"/>
    </row>
    <row r="206" spans="3:12" ht="13.5" thickBot="1" x14ac:dyDescent="0.3">
      <c r="C206" s="83"/>
      <c r="D206" s="485" t="s">
        <v>512</v>
      </c>
      <c r="E206" s="485"/>
      <c r="F206" s="485"/>
      <c r="G206" s="485"/>
      <c r="H206" s="485"/>
      <c r="I206" s="485"/>
      <c r="J206" s="485"/>
      <c r="K206" s="485"/>
      <c r="L206" s="98">
        <f>L203</f>
        <v>0</v>
      </c>
    </row>
    <row r="207" spans="3:12" s="116" customFormat="1" ht="13.5" thickBot="1" x14ac:dyDescent="0.3">
      <c r="C207" s="477"/>
      <c r="D207" s="478"/>
      <c r="E207" s="478"/>
      <c r="F207" s="478"/>
      <c r="G207" s="478"/>
      <c r="H207" s="478"/>
      <c r="I207" s="478"/>
      <c r="J207" s="478"/>
      <c r="K207" s="478"/>
      <c r="L207" s="479"/>
    </row>
    <row r="208" spans="3:12" s="116" customFormat="1" x14ac:dyDescent="0.25">
      <c r="C208" s="466" t="s">
        <v>513</v>
      </c>
      <c r="D208" s="467"/>
      <c r="E208" s="467"/>
      <c r="F208" s="467"/>
      <c r="G208" s="467"/>
      <c r="H208" s="467"/>
      <c r="I208" s="467"/>
      <c r="J208" s="467"/>
      <c r="K208" s="467"/>
      <c r="L208" s="468"/>
    </row>
    <row r="209" spans="3:12" x14ac:dyDescent="0.25">
      <c r="C209" s="72" t="s">
        <v>66</v>
      </c>
      <c r="D209" s="492" t="s">
        <v>498</v>
      </c>
      <c r="E209" s="492"/>
      <c r="F209" s="85" t="s">
        <v>499</v>
      </c>
      <c r="G209" s="85" t="s">
        <v>506</v>
      </c>
      <c r="H209" s="73" t="s">
        <v>514</v>
      </c>
      <c r="I209" s="99" t="s">
        <v>515</v>
      </c>
      <c r="J209" s="85" t="s">
        <v>516</v>
      </c>
      <c r="K209" s="99" t="s">
        <v>517</v>
      </c>
      <c r="L209" s="100" t="s">
        <v>502</v>
      </c>
    </row>
    <row r="210" spans="3:12" x14ac:dyDescent="0.25">
      <c r="C210" s="79" t="s">
        <v>518</v>
      </c>
      <c r="D210" s="460" t="str">
        <f>'MANO DE OBRA'!$B$2</f>
        <v>Oficial</v>
      </c>
      <c r="E210" s="461"/>
      <c r="F210" s="97" t="str">
        <f>'MANO DE OBRA'!$C$2</f>
        <v>DIA</v>
      </c>
      <c r="G210" s="76">
        <v>1</v>
      </c>
      <c r="H210" s="101">
        <f>'MANO DE OBRA'!$D$2</f>
        <v>47982</v>
      </c>
      <c r="I210" s="102">
        <v>0.75649999999999995</v>
      </c>
      <c r="J210" s="103">
        <f>(H210+(H210*I210))</f>
        <v>84280.383000000002</v>
      </c>
      <c r="K210" s="139">
        <v>8.9260434782608691</v>
      </c>
      <c r="L210" s="96">
        <f>G210*(J210/K210)</f>
        <v>9442.0762351497087</v>
      </c>
    </row>
    <row r="211" spans="3:12" x14ac:dyDescent="0.25">
      <c r="C211" s="79" t="s">
        <v>519</v>
      </c>
      <c r="D211" s="460" t="str">
        <f>'MANO DE OBRA'!$B$3</f>
        <v>Ayudante</v>
      </c>
      <c r="E211" s="461"/>
      <c r="F211" s="97" t="str">
        <f>'MANO DE OBRA'!$C$3</f>
        <v>DIA</v>
      </c>
      <c r="G211" s="76">
        <v>2</v>
      </c>
      <c r="H211" s="101">
        <f>'MANO DE OBRA'!$D$3</f>
        <v>28981.77</v>
      </c>
      <c r="I211" s="102">
        <v>0.75649999999999995</v>
      </c>
      <c r="J211" s="103">
        <f>(H211+(H211*I211))</f>
        <v>50906.479005000001</v>
      </c>
      <c r="K211" s="139">
        <f>+K210</f>
        <v>8.9260434782608691</v>
      </c>
      <c r="L211" s="96">
        <f>G211*(J211/K211)</f>
        <v>11406.280762351498</v>
      </c>
    </row>
    <row r="212" spans="3:12" x14ac:dyDescent="0.25">
      <c r="C212" s="90"/>
      <c r="D212" s="493"/>
      <c r="E212" s="493"/>
      <c r="F212" s="97"/>
      <c r="G212" s="76"/>
      <c r="H212" s="101"/>
      <c r="I212" s="102"/>
      <c r="J212" s="103"/>
      <c r="K212" s="76"/>
      <c r="L212" s="96"/>
    </row>
    <row r="213" spans="3:12" ht="13.5" thickBot="1" x14ac:dyDescent="0.3">
      <c r="C213" s="83"/>
      <c r="D213" s="485" t="s">
        <v>520</v>
      </c>
      <c r="E213" s="485"/>
      <c r="F213" s="485"/>
      <c r="G213" s="485"/>
      <c r="H213" s="485"/>
      <c r="I213" s="485"/>
      <c r="J213" s="485"/>
      <c r="K213" s="485"/>
      <c r="L213" s="98">
        <f>L211+L210</f>
        <v>20848.356997501207</v>
      </c>
    </row>
    <row r="214" spans="3:12" s="116" customFormat="1" ht="13.5" thickBot="1" x14ac:dyDescent="0.3">
      <c r="C214" s="486"/>
      <c r="D214" s="487"/>
      <c r="E214" s="487"/>
      <c r="F214" s="487"/>
      <c r="G214" s="487"/>
      <c r="H214" s="487"/>
      <c r="I214" s="487"/>
      <c r="J214" s="487"/>
      <c r="K214" s="487"/>
      <c r="L214" s="488"/>
    </row>
    <row r="215" spans="3:12" ht="13.5" thickBot="1" x14ac:dyDescent="0.3">
      <c r="C215" s="489" t="s">
        <v>521</v>
      </c>
      <c r="D215" s="490"/>
      <c r="E215" s="490"/>
      <c r="F215" s="490"/>
      <c r="G215" s="490"/>
      <c r="H215" s="490"/>
      <c r="I215" s="490"/>
      <c r="J215" s="491"/>
      <c r="K215" s="145">
        <f>ROUND(L213+L206+L199+L193,0)</f>
        <v>29600</v>
      </c>
      <c r="L215" s="146"/>
    </row>
    <row r="218" spans="3:12" x14ac:dyDescent="0.25">
      <c r="C218" s="466" t="s">
        <v>495</v>
      </c>
      <c r="D218" s="467"/>
      <c r="E218" s="467"/>
      <c r="F218" s="467"/>
      <c r="G218" s="467"/>
      <c r="H218" s="467"/>
      <c r="I218" s="467"/>
      <c r="J218" s="467"/>
      <c r="K218" s="467"/>
      <c r="L218" s="468"/>
    </row>
    <row r="219" spans="3:12" x14ac:dyDescent="0.25">
      <c r="C219" s="469" t="str">
        <f>+PPTO!A2</f>
        <v>REPOSICION E INSTALACION VALVULAS DE SECTORIZACION EN DIFERENTES SECTORES DEL MUNICIPIO DE PIEDECUESTA - SANTANDER.</v>
      </c>
      <c r="D219" s="470"/>
      <c r="E219" s="470"/>
      <c r="F219" s="470"/>
      <c r="G219" s="470"/>
      <c r="H219" s="470"/>
      <c r="I219" s="470"/>
      <c r="J219" s="470"/>
      <c r="K219" s="470"/>
      <c r="L219" s="471"/>
    </row>
    <row r="220" spans="3:12" x14ac:dyDescent="0.25">
      <c r="C220" s="472" t="s">
        <v>496</v>
      </c>
      <c r="D220" s="141">
        <f>+PPTO!A10</f>
        <v>2</v>
      </c>
      <c r="E220" s="474" t="str">
        <f>+PPTO!B10</f>
        <v>MOVIMIENTO DE  TIERRAS</v>
      </c>
      <c r="F220" s="475"/>
      <c r="G220" s="475"/>
      <c r="H220" s="475"/>
      <c r="I220" s="475"/>
      <c r="J220" s="475"/>
      <c r="K220" s="475"/>
      <c r="L220" s="70" t="s">
        <v>52</v>
      </c>
    </row>
    <row r="221" spans="3:12" x14ac:dyDescent="0.25">
      <c r="C221" s="473"/>
      <c r="D221" s="120">
        <f>+PPTO!A13</f>
        <v>2.0299999999999998</v>
      </c>
      <c r="E221" s="476" t="str">
        <f>+PPTO!B13</f>
        <v>Acarreo y retiro de sobrantes</v>
      </c>
      <c r="F221" s="476"/>
      <c r="G221" s="476"/>
      <c r="H221" s="476"/>
      <c r="I221" s="476"/>
      <c r="J221" s="476"/>
      <c r="K221" s="476"/>
      <c r="L221" s="71" t="str">
        <f>+PPTO!C13</f>
        <v>M3</v>
      </c>
    </row>
    <row r="222" spans="3:12" x14ac:dyDescent="0.25">
      <c r="C222" s="477"/>
      <c r="D222" s="478"/>
      <c r="E222" s="478"/>
      <c r="F222" s="478"/>
      <c r="G222" s="478"/>
      <c r="H222" s="478"/>
      <c r="I222" s="478"/>
      <c r="J222" s="478"/>
      <c r="K222" s="478"/>
      <c r="L222" s="479"/>
    </row>
    <row r="223" spans="3:12" x14ac:dyDescent="0.25">
      <c r="C223" s="466" t="s">
        <v>497</v>
      </c>
      <c r="D223" s="467"/>
      <c r="E223" s="467"/>
      <c r="F223" s="467"/>
      <c r="G223" s="467"/>
      <c r="H223" s="467"/>
      <c r="I223" s="467"/>
      <c r="J223" s="467"/>
      <c r="K223" s="467"/>
      <c r="L223" s="468"/>
    </row>
    <row r="224" spans="3:12" x14ac:dyDescent="0.25">
      <c r="C224" s="72" t="s">
        <v>66</v>
      </c>
      <c r="D224" s="492" t="s">
        <v>498</v>
      </c>
      <c r="E224" s="492"/>
      <c r="F224" s="492"/>
      <c r="G224" s="492"/>
      <c r="H224" s="492"/>
      <c r="I224" s="73" t="s">
        <v>499</v>
      </c>
      <c r="J224" s="74" t="s">
        <v>500</v>
      </c>
      <c r="K224" s="73" t="s">
        <v>501</v>
      </c>
      <c r="L224" s="70" t="s">
        <v>502</v>
      </c>
    </row>
    <row r="225" spans="3:12" x14ac:dyDescent="0.25">
      <c r="C225" s="110"/>
      <c r="D225" s="460"/>
      <c r="E225" s="499"/>
      <c r="F225" s="499"/>
      <c r="G225" s="499"/>
      <c r="H225" s="461"/>
      <c r="I225" s="76"/>
      <c r="J225" s="76"/>
      <c r="K225" s="77"/>
      <c r="L225" s="78"/>
    </row>
    <row r="226" spans="3:12" x14ac:dyDescent="0.25">
      <c r="C226" s="79"/>
      <c r="D226" s="493" t="s">
        <v>503</v>
      </c>
      <c r="E226" s="493"/>
      <c r="F226" s="493"/>
      <c r="G226" s="493"/>
      <c r="H226" s="493"/>
      <c r="I226" s="76" t="s">
        <v>61</v>
      </c>
      <c r="J226" s="80">
        <v>1</v>
      </c>
      <c r="K226" s="81">
        <f>L249*0.1</f>
        <v>1131.8260890896206</v>
      </c>
      <c r="L226" s="82">
        <f>K226/J226</f>
        <v>1131.8260890896206</v>
      </c>
    </row>
    <row r="227" spans="3:12" x14ac:dyDescent="0.25">
      <c r="C227" s="79"/>
      <c r="D227" s="493"/>
      <c r="E227" s="493"/>
      <c r="F227" s="493"/>
      <c r="G227" s="493"/>
      <c r="H227" s="493"/>
      <c r="I227" s="76"/>
      <c r="J227" s="76"/>
      <c r="K227" s="81"/>
      <c r="L227" s="82"/>
    </row>
    <row r="228" spans="3:12" x14ac:dyDescent="0.25">
      <c r="C228" s="83"/>
      <c r="D228" s="485" t="s">
        <v>504</v>
      </c>
      <c r="E228" s="485"/>
      <c r="F228" s="485"/>
      <c r="G228" s="485"/>
      <c r="H228" s="485"/>
      <c r="I228" s="485"/>
      <c r="J228" s="485"/>
      <c r="K228" s="485"/>
      <c r="L228" s="84">
        <f>L226+L225</f>
        <v>1131.8260890896206</v>
      </c>
    </row>
    <row r="229" spans="3:12" x14ac:dyDescent="0.25">
      <c r="C229" s="477"/>
      <c r="D229" s="478"/>
      <c r="E229" s="478"/>
      <c r="F229" s="478"/>
      <c r="G229" s="478"/>
      <c r="H229" s="478"/>
      <c r="I229" s="478"/>
      <c r="J229" s="478"/>
      <c r="K229" s="478"/>
      <c r="L229" s="479"/>
    </row>
    <row r="230" spans="3:12" x14ac:dyDescent="0.25">
      <c r="C230" s="466" t="s">
        <v>505</v>
      </c>
      <c r="D230" s="467"/>
      <c r="E230" s="467"/>
      <c r="F230" s="467"/>
      <c r="G230" s="467"/>
      <c r="H230" s="467"/>
      <c r="I230" s="467"/>
      <c r="J230" s="467"/>
      <c r="K230" s="467"/>
      <c r="L230" s="468"/>
    </row>
    <row r="231" spans="3:12" ht="25.5" x14ac:dyDescent="0.25">
      <c r="C231" s="72" t="s">
        <v>66</v>
      </c>
      <c r="D231" s="492" t="s">
        <v>498</v>
      </c>
      <c r="E231" s="492"/>
      <c r="F231" s="492"/>
      <c r="G231" s="492"/>
      <c r="H231" s="73" t="s">
        <v>499</v>
      </c>
      <c r="I231" s="74" t="s">
        <v>506</v>
      </c>
      <c r="J231" s="73" t="s">
        <v>501</v>
      </c>
      <c r="K231" s="85" t="s">
        <v>507</v>
      </c>
      <c r="L231" s="70" t="s">
        <v>502</v>
      </c>
    </row>
    <row r="232" spans="3:12" x14ac:dyDescent="0.25">
      <c r="C232" s="90"/>
      <c r="D232" s="493"/>
      <c r="E232" s="493"/>
      <c r="F232" s="493"/>
      <c r="G232" s="493"/>
      <c r="H232" s="97"/>
      <c r="I232" s="91"/>
      <c r="J232" s="92"/>
      <c r="K232" s="93"/>
      <c r="L232" s="82"/>
    </row>
    <row r="233" spans="3:12" x14ac:dyDescent="0.25">
      <c r="C233" s="90"/>
      <c r="D233" s="500"/>
      <c r="E233" s="500"/>
      <c r="F233" s="500"/>
      <c r="G233" s="500"/>
      <c r="H233" s="97"/>
      <c r="I233" s="91"/>
      <c r="J233" s="92"/>
      <c r="K233" s="93"/>
      <c r="L233" s="82"/>
    </row>
    <row r="234" spans="3:12" x14ac:dyDescent="0.25">
      <c r="C234" s="90"/>
      <c r="D234" s="500"/>
      <c r="E234" s="500"/>
      <c r="F234" s="500"/>
      <c r="G234" s="500"/>
      <c r="H234" s="97"/>
      <c r="I234" s="91"/>
      <c r="J234" s="92"/>
      <c r="K234" s="93"/>
      <c r="L234" s="82"/>
    </row>
    <row r="235" spans="3:12" x14ac:dyDescent="0.25">
      <c r="C235" s="94"/>
      <c r="D235" s="485" t="s">
        <v>508</v>
      </c>
      <c r="E235" s="485"/>
      <c r="F235" s="485"/>
      <c r="G235" s="485"/>
      <c r="H235" s="485"/>
      <c r="I235" s="485"/>
      <c r="J235" s="485"/>
      <c r="K235" s="485"/>
      <c r="L235" s="84">
        <f>SUM(L232:L234)</f>
        <v>0</v>
      </c>
    </row>
    <row r="236" spans="3:12" x14ac:dyDescent="0.25">
      <c r="C236" s="486"/>
      <c r="D236" s="487"/>
      <c r="E236" s="487"/>
      <c r="F236" s="487"/>
      <c r="G236" s="487"/>
      <c r="H236" s="487"/>
      <c r="I236" s="487"/>
      <c r="J236" s="487"/>
      <c r="K236" s="487"/>
      <c r="L236" s="488"/>
    </row>
    <row r="237" spans="3:12" x14ac:dyDescent="0.25">
      <c r="C237" s="466" t="s">
        <v>509</v>
      </c>
      <c r="D237" s="467"/>
      <c r="E237" s="467"/>
      <c r="F237" s="467"/>
      <c r="G237" s="467"/>
      <c r="H237" s="467"/>
      <c r="I237" s="467"/>
      <c r="J237" s="467"/>
      <c r="K237" s="467"/>
      <c r="L237" s="468"/>
    </row>
    <row r="238" spans="3:12" x14ac:dyDescent="0.25">
      <c r="C238" s="72" t="s">
        <v>66</v>
      </c>
      <c r="D238" s="492" t="s">
        <v>498</v>
      </c>
      <c r="E238" s="492"/>
      <c r="F238" s="492"/>
      <c r="G238" s="492"/>
      <c r="H238" s="73" t="s">
        <v>506</v>
      </c>
      <c r="I238" s="73" t="s">
        <v>499</v>
      </c>
      <c r="J238" s="74" t="s">
        <v>510</v>
      </c>
      <c r="K238" s="85" t="s">
        <v>511</v>
      </c>
      <c r="L238" s="70" t="s">
        <v>502</v>
      </c>
    </row>
    <row r="239" spans="3:12" x14ac:dyDescent="0.25">
      <c r="C239" s="90" t="str">
        <f>+TRANSPORTE!A2</f>
        <v>TR-001</v>
      </c>
      <c r="D239" s="493" t="str">
        <f>+TRANSPORTE!B2</f>
        <v>Volqueta de 8 m3 (cargue, tansporte y derecho a botadero)</v>
      </c>
      <c r="E239" s="493"/>
      <c r="F239" s="493"/>
      <c r="G239" s="493"/>
      <c r="H239" s="76">
        <v>1.3</v>
      </c>
      <c r="I239" s="97" t="str">
        <f>+TRANSPORTE!C2</f>
        <v>m3/Km</v>
      </c>
      <c r="J239" s="97">
        <v>23.5</v>
      </c>
      <c r="K239" s="95">
        <f>+TRANSPORTE!D2</f>
        <v>1000</v>
      </c>
      <c r="L239" s="96">
        <f>+K239*J239*H239</f>
        <v>30550</v>
      </c>
    </row>
    <row r="240" spans="3:12" x14ac:dyDescent="0.25">
      <c r="C240" s="90"/>
      <c r="D240" s="495"/>
      <c r="E240" s="495"/>
      <c r="F240" s="495"/>
      <c r="G240" s="495"/>
      <c r="H240" s="76"/>
      <c r="I240" s="97"/>
      <c r="J240" s="97"/>
      <c r="K240" s="95"/>
      <c r="L240" s="96"/>
    </row>
    <row r="241" spans="3:12" x14ac:dyDescent="0.25">
      <c r="C241" s="90"/>
      <c r="D241" s="495"/>
      <c r="E241" s="495"/>
      <c r="F241" s="495"/>
      <c r="G241" s="495"/>
      <c r="H241" s="76"/>
      <c r="I241" s="97"/>
      <c r="J241" s="97"/>
      <c r="K241" s="95"/>
      <c r="L241" s="96"/>
    </row>
    <row r="242" spans="3:12" x14ac:dyDescent="0.25">
      <c r="C242" s="83"/>
      <c r="D242" s="485" t="s">
        <v>512</v>
      </c>
      <c r="E242" s="485"/>
      <c r="F242" s="485"/>
      <c r="G242" s="485"/>
      <c r="H242" s="485"/>
      <c r="I242" s="485"/>
      <c r="J242" s="485"/>
      <c r="K242" s="485"/>
      <c r="L242" s="98">
        <f>L239</f>
        <v>30550</v>
      </c>
    </row>
    <row r="243" spans="3:12" x14ac:dyDescent="0.25">
      <c r="C243" s="477"/>
      <c r="D243" s="478"/>
      <c r="E243" s="478"/>
      <c r="F243" s="478"/>
      <c r="G243" s="478"/>
      <c r="H243" s="478"/>
      <c r="I243" s="478"/>
      <c r="J243" s="478"/>
      <c r="K243" s="478"/>
      <c r="L243" s="479"/>
    </row>
    <row r="244" spans="3:12" x14ac:dyDescent="0.25">
      <c r="C244" s="466" t="s">
        <v>513</v>
      </c>
      <c r="D244" s="467"/>
      <c r="E244" s="467"/>
      <c r="F244" s="467"/>
      <c r="G244" s="467"/>
      <c r="H244" s="467"/>
      <c r="I244" s="467"/>
      <c r="J244" s="467"/>
      <c r="K244" s="467"/>
      <c r="L244" s="468"/>
    </row>
    <row r="245" spans="3:12" x14ac:dyDescent="0.25">
      <c r="C245" s="72" t="s">
        <v>66</v>
      </c>
      <c r="D245" s="492" t="s">
        <v>498</v>
      </c>
      <c r="E245" s="492"/>
      <c r="F245" s="85" t="s">
        <v>499</v>
      </c>
      <c r="G245" s="85" t="s">
        <v>506</v>
      </c>
      <c r="H245" s="73" t="s">
        <v>514</v>
      </c>
      <c r="I245" s="99" t="s">
        <v>515</v>
      </c>
      <c r="J245" s="85" t="s">
        <v>516</v>
      </c>
      <c r="K245" s="99" t="s">
        <v>517</v>
      </c>
      <c r="L245" s="100" t="s">
        <v>502</v>
      </c>
    </row>
    <row r="246" spans="3:12" x14ac:dyDescent="0.25">
      <c r="C246" s="79" t="s">
        <v>518</v>
      </c>
      <c r="D246" s="460" t="str">
        <f>'MANO DE OBRA'!$B$2</f>
        <v>Oficial</v>
      </c>
      <c r="E246" s="461"/>
      <c r="F246" s="97" t="str">
        <f>'MANO DE OBRA'!$C$2</f>
        <v>DIA</v>
      </c>
      <c r="G246" s="76">
        <v>1</v>
      </c>
      <c r="H246" s="101">
        <f>'MANO DE OBRA'!$D$2</f>
        <v>47982</v>
      </c>
      <c r="I246" s="102">
        <v>0.75649999999999995</v>
      </c>
      <c r="J246" s="103">
        <f>(H246+(H246*I246))</f>
        <v>84280.383000000002</v>
      </c>
      <c r="K246" s="139">
        <v>16.44186706808317</v>
      </c>
      <c r="L246" s="96">
        <f>G246*(J246/K246)</f>
        <v>5125.9618297002571</v>
      </c>
    </row>
    <row r="247" spans="3:12" x14ac:dyDescent="0.25">
      <c r="C247" s="79" t="s">
        <v>519</v>
      </c>
      <c r="D247" s="460" t="str">
        <f>'MANO DE OBRA'!$B$3</f>
        <v>Ayudante</v>
      </c>
      <c r="E247" s="461"/>
      <c r="F247" s="97" t="str">
        <f>'MANO DE OBRA'!$C$3</f>
        <v>DIA</v>
      </c>
      <c r="G247" s="76">
        <v>2</v>
      </c>
      <c r="H247" s="101">
        <f>'MANO DE OBRA'!$D$3</f>
        <v>28981.77</v>
      </c>
      <c r="I247" s="102">
        <v>0.75649999999999995</v>
      </c>
      <c r="J247" s="103">
        <f>(H247+(H247*I247))</f>
        <v>50906.479005000001</v>
      </c>
      <c r="K247" s="139">
        <f>+K246</f>
        <v>16.44186706808317</v>
      </c>
      <c r="L247" s="96">
        <f>G247*(J247/K247)</f>
        <v>6192.2990611959494</v>
      </c>
    </row>
    <row r="248" spans="3:12" x14ac:dyDescent="0.25">
      <c r="C248" s="90"/>
      <c r="D248" s="493"/>
      <c r="E248" s="493"/>
      <c r="F248" s="97"/>
      <c r="G248" s="76"/>
      <c r="H248" s="101"/>
      <c r="I248" s="102"/>
      <c r="J248" s="103"/>
      <c r="K248" s="76"/>
      <c r="L248" s="96"/>
    </row>
    <row r="249" spans="3:12" x14ac:dyDescent="0.25">
      <c r="C249" s="83"/>
      <c r="D249" s="485" t="s">
        <v>520</v>
      </c>
      <c r="E249" s="485"/>
      <c r="F249" s="485"/>
      <c r="G249" s="485"/>
      <c r="H249" s="485"/>
      <c r="I249" s="485"/>
      <c r="J249" s="485"/>
      <c r="K249" s="485"/>
      <c r="L249" s="98">
        <f>L247+L246</f>
        <v>11318.260890896207</v>
      </c>
    </row>
    <row r="250" spans="3:12" ht="13.5" thickBot="1" x14ac:dyDescent="0.3">
      <c r="C250" s="486"/>
      <c r="D250" s="487"/>
      <c r="E250" s="487"/>
      <c r="F250" s="487"/>
      <c r="G250" s="487"/>
      <c r="H250" s="487"/>
      <c r="I250" s="487"/>
      <c r="J250" s="487"/>
      <c r="K250" s="487"/>
      <c r="L250" s="488"/>
    </row>
    <row r="251" spans="3:12" ht="13.5" thickBot="1" x14ac:dyDescent="0.3">
      <c r="C251" s="489" t="s">
        <v>521</v>
      </c>
      <c r="D251" s="490"/>
      <c r="E251" s="490"/>
      <c r="F251" s="490"/>
      <c r="G251" s="490"/>
      <c r="H251" s="490"/>
      <c r="I251" s="490"/>
      <c r="J251" s="491"/>
      <c r="K251" s="145">
        <f>ROUND(L249+L242+L235+L228,0)</f>
        <v>43000</v>
      </c>
      <c r="L251" s="146"/>
    </row>
    <row r="254" spans="3:12" s="116" customFormat="1" x14ac:dyDescent="0.25">
      <c r="C254" s="466" t="s">
        <v>495</v>
      </c>
      <c r="D254" s="467"/>
      <c r="E254" s="467"/>
      <c r="F254" s="467"/>
      <c r="G254" s="467"/>
      <c r="H254" s="467"/>
      <c r="I254" s="467"/>
      <c r="J254" s="467"/>
      <c r="K254" s="467"/>
      <c r="L254" s="468"/>
    </row>
    <row r="255" spans="3:12" s="116" customFormat="1" x14ac:dyDescent="0.25">
      <c r="C255" s="469" t="str">
        <f>+PPTO!A2</f>
        <v>REPOSICION E INSTALACION VALVULAS DE SECTORIZACION EN DIFERENTES SECTORES DEL MUNICIPIO DE PIEDECUESTA - SANTANDER.</v>
      </c>
      <c r="D255" s="470"/>
      <c r="E255" s="470"/>
      <c r="F255" s="470"/>
      <c r="G255" s="470"/>
      <c r="H255" s="470"/>
      <c r="I255" s="470"/>
      <c r="J255" s="470"/>
      <c r="K255" s="470"/>
      <c r="L255" s="471"/>
    </row>
    <row r="256" spans="3:12" x14ac:dyDescent="0.25">
      <c r="C256" s="472" t="s">
        <v>496</v>
      </c>
      <c r="D256" s="141">
        <f>+PPTO!A15</f>
        <v>3</v>
      </c>
      <c r="E256" s="474" t="str">
        <f>+PPTO!B15</f>
        <v>CONCRETOS Y ESTRUCTURAS</v>
      </c>
      <c r="F256" s="475"/>
      <c r="G256" s="475"/>
      <c r="H256" s="475"/>
      <c r="I256" s="475"/>
      <c r="J256" s="475"/>
      <c r="K256" s="475"/>
      <c r="L256" s="70" t="s">
        <v>52</v>
      </c>
    </row>
    <row r="257" spans="3:12" ht="30" customHeight="1" x14ac:dyDescent="0.25">
      <c r="C257" s="473"/>
      <c r="D257" s="120">
        <f>+PPTO!A16</f>
        <v>3.01</v>
      </c>
      <c r="E257" s="476" t="str">
        <f>+PPTO!B16</f>
        <v>Caja para válvula placa en concreto incluye tapa en HD</v>
      </c>
      <c r="F257" s="476"/>
      <c r="G257" s="476"/>
      <c r="H257" s="476"/>
      <c r="I257" s="476"/>
      <c r="J257" s="476"/>
      <c r="K257" s="476"/>
      <c r="L257" s="71" t="str">
        <f>+PPTO!C16</f>
        <v>UND</v>
      </c>
    </row>
    <row r="258" spans="3:12" x14ac:dyDescent="0.25">
      <c r="C258" s="477"/>
      <c r="D258" s="478"/>
      <c r="E258" s="478"/>
      <c r="F258" s="478"/>
      <c r="G258" s="478"/>
      <c r="H258" s="478"/>
      <c r="I258" s="478"/>
      <c r="J258" s="478"/>
      <c r="K258" s="478"/>
      <c r="L258" s="479"/>
    </row>
    <row r="259" spans="3:12" x14ac:dyDescent="0.25">
      <c r="C259" s="466" t="s">
        <v>497</v>
      </c>
      <c r="D259" s="467"/>
      <c r="E259" s="467"/>
      <c r="F259" s="467"/>
      <c r="G259" s="467"/>
      <c r="H259" s="467"/>
      <c r="I259" s="467"/>
      <c r="J259" s="467"/>
      <c r="K259" s="467"/>
      <c r="L259" s="468"/>
    </row>
    <row r="260" spans="3:12" x14ac:dyDescent="0.25">
      <c r="C260" s="72" t="s">
        <v>66</v>
      </c>
      <c r="D260" s="492" t="s">
        <v>498</v>
      </c>
      <c r="E260" s="492"/>
      <c r="F260" s="492"/>
      <c r="G260" s="492"/>
      <c r="H260" s="492"/>
      <c r="I260" s="73" t="s">
        <v>499</v>
      </c>
      <c r="J260" s="74" t="s">
        <v>500</v>
      </c>
      <c r="K260" s="73" t="s">
        <v>501</v>
      </c>
      <c r="L260" s="70" t="s">
        <v>502</v>
      </c>
    </row>
    <row r="261" spans="3:12" x14ac:dyDescent="0.25">
      <c r="C261" s="75"/>
      <c r="D261" s="460"/>
      <c r="E261" s="499"/>
      <c r="F261" s="499"/>
      <c r="G261" s="499"/>
      <c r="H261" s="461"/>
      <c r="I261" s="76"/>
      <c r="J261" s="76"/>
      <c r="K261" s="77"/>
      <c r="L261" s="78"/>
    </row>
    <row r="262" spans="3:12" x14ac:dyDescent="0.25">
      <c r="C262" s="79"/>
      <c r="D262" s="493" t="s">
        <v>503</v>
      </c>
      <c r="E262" s="493"/>
      <c r="F262" s="493"/>
      <c r="G262" s="493"/>
      <c r="H262" s="493"/>
      <c r="I262" s="76" t="s">
        <v>61</v>
      </c>
      <c r="J262" s="80">
        <v>1</v>
      </c>
      <c r="K262" s="81">
        <f>L285*0.1</f>
        <v>13518.6862005</v>
      </c>
      <c r="L262" s="82">
        <f>K262/J262</f>
        <v>13518.6862005</v>
      </c>
    </row>
    <row r="263" spans="3:12" x14ac:dyDescent="0.25">
      <c r="C263" s="79"/>
      <c r="D263" s="493"/>
      <c r="E263" s="493"/>
      <c r="F263" s="493"/>
      <c r="G263" s="493"/>
      <c r="H263" s="493"/>
      <c r="I263" s="76"/>
      <c r="J263" s="76"/>
      <c r="K263" s="81"/>
      <c r="L263" s="82"/>
    </row>
    <row r="264" spans="3:12" s="116" customFormat="1" x14ac:dyDescent="0.25">
      <c r="C264" s="83"/>
      <c r="D264" s="485" t="s">
        <v>504</v>
      </c>
      <c r="E264" s="485"/>
      <c r="F264" s="485"/>
      <c r="G264" s="485"/>
      <c r="H264" s="485"/>
      <c r="I264" s="485"/>
      <c r="J264" s="485"/>
      <c r="K264" s="485"/>
      <c r="L264" s="84">
        <f>L262+L261</f>
        <v>13518.6862005</v>
      </c>
    </row>
    <row r="265" spans="3:12" s="116" customFormat="1" x14ac:dyDescent="0.25">
      <c r="C265" s="477"/>
      <c r="D265" s="478"/>
      <c r="E265" s="478"/>
      <c r="F265" s="478"/>
      <c r="G265" s="478"/>
      <c r="H265" s="478"/>
      <c r="I265" s="478"/>
      <c r="J265" s="478"/>
      <c r="K265" s="478"/>
      <c r="L265" s="479"/>
    </row>
    <row r="266" spans="3:12" x14ac:dyDescent="0.25">
      <c r="C266" s="466" t="s">
        <v>505</v>
      </c>
      <c r="D266" s="467"/>
      <c r="E266" s="467"/>
      <c r="F266" s="467"/>
      <c r="G266" s="467"/>
      <c r="H266" s="467"/>
      <c r="I266" s="467"/>
      <c r="J266" s="467"/>
      <c r="K266" s="467"/>
      <c r="L266" s="468"/>
    </row>
    <row r="267" spans="3:12" ht="25.5" x14ac:dyDescent="0.25">
      <c r="C267" s="72" t="s">
        <v>66</v>
      </c>
      <c r="D267" s="492" t="s">
        <v>498</v>
      </c>
      <c r="E267" s="492"/>
      <c r="F267" s="492"/>
      <c r="G267" s="492"/>
      <c r="H267" s="73" t="s">
        <v>499</v>
      </c>
      <c r="I267" s="74" t="s">
        <v>506</v>
      </c>
      <c r="J267" s="73" t="s">
        <v>501</v>
      </c>
      <c r="K267" s="85" t="s">
        <v>507</v>
      </c>
      <c r="L267" s="70" t="s">
        <v>502</v>
      </c>
    </row>
    <row r="268" spans="3:12" ht="16.5" x14ac:dyDescent="0.3">
      <c r="C268" s="143" t="str">
        <f>+MATERIALES!A287</f>
        <v>MAT-257</v>
      </c>
      <c r="D268" s="498" t="str">
        <f>+MATERIALES!B287</f>
        <v>Caja para válvula placa en concreto incluye tapa en HD</v>
      </c>
      <c r="E268" s="496"/>
      <c r="F268" s="496"/>
      <c r="G268" s="497"/>
      <c r="H268" s="73" t="str">
        <f>+MATERIALES!C287</f>
        <v>und</v>
      </c>
      <c r="I268" s="63">
        <v>1</v>
      </c>
      <c r="J268" s="86">
        <f>+MATERIALES!D287</f>
        <v>182694</v>
      </c>
      <c r="K268" s="87">
        <v>0</v>
      </c>
      <c r="L268" s="88">
        <f>I268*J268*(1+K268)</f>
        <v>182694</v>
      </c>
    </row>
    <row r="269" spans="3:12" ht="16.5" x14ac:dyDescent="0.3">
      <c r="C269" s="143"/>
      <c r="D269" s="460"/>
      <c r="E269" s="499"/>
      <c r="F269" s="499"/>
      <c r="G269" s="461"/>
      <c r="H269" s="73"/>
      <c r="I269" s="63"/>
      <c r="J269" s="86"/>
      <c r="K269" s="87"/>
      <c r="L269" s="88">
        <f>I269*J269*(1+K269)</f>
        <v>0</v>
      </c>
    </row>
    <row r="270" spans="3:12" x14ac:dyDescent="0.25">
      <c r="C270" s="90"/>
      <c r="D270" s="500"/>
      <c r="E270" s="500"/>
      <c r="F270" s="500"/>
      <c r="G270" s="500"/>
      <c r="H270" s="97"/>
      <c r="I270" s="91"/>
      <c r="J270" s="92"/>
      <c r="K270" s="93"/>
      <c r="L270" s="82"/>
    </row>
    <row r="271" spans="3:12" x14ac:dyDescent="0.25">
      <c r="C271" s="94"/>
      <c r="D271" s="485" t="s">
        <v>508</v>
      </c>
      <c r="E271" s="485"/>
      <c r="F271" s="485"/>
      <c r="G271" s="485"/>
      <c r="H271" s="485"/>
      <c r="I271" s="485"/>
      <c r="J271" s="485"/>
      <c r="K271" s="485"/>
      <c r="L271" s="84">
        <f>SUM(L268:L270)</f>
        <v>182694</v>
      </c>
    </row>
    <row r="272" spans="3:12" x14ac:dyDescent="0.25">
      <c r="C272" s="486"/>
      <c r="D272" s="487"/>
      <c r="E272" s="487"/>
      <c r="F272" s="487"/>
      <c r="G272" s="487"/>
      <c r="H272" s="487"/>
      <c r="I272" s="487"/>
      <c r="J272" s="487"/>
      <c r="K272" s="487"/>
      <c r="L272" s="488"/>
    </row>
    <row r="273" spans="3:12" x14ac:dyDescent="0.25">
      <c r="C273" s="466" t="s">
        <v>509</v>
      </c>
      <c r="D273" s="467"/>
      <c r="E273" s="467"/>
      <c r="F273" s="467"/>
      <c r="G273" s="467"/>
      <c r="H273" s="467"/>
      <c r="I273" s="467"/>
      <c r="J273" s="467"/>
      <c r="K273" s="467"/>
      <c r="L273" s="468"/>
    </row>
    <row r="274" spans="3:12" x14ac:dyDescent="0.25">
      <c r="C274" s="72" t="s">
        <v>66</v>
      </c>
      <c r="D274" s="492" t="s">
        <v>498</v>
      </c>
      <c r="E274" s="492"/>
      <c r="F274" s="492"/>
      <c r="G274" s="492"/>
      <c r="H274" s="73" t="s">
        <v>506</v>
      </c>
      <c r="I274" s="73" t="s">
        <v>499</v>
      </c>
      <c r="J274" s="74" t="s">
        <v>510</v>
      </c>
      <c r="K274" s="85" t="s">
        <v>511</v>
      </c>
      <c r="L274" s="70" t="s">
        <v>502</v>
      </c>
    </row>
    <row r="275" spans="3:12" x14ac:dyDescent="0.25">
      <c r="C275" s="90"/>
      <c r="D275" s="493"/>
      <c r="E275" s="493"/>
      <c r="F275" s="493"/>
      <c r="G275" s="493"/>
      <c r="H275" s="76"/>
      <c r="I275" s="97"/>
      <c r="J275" s="97"/>
      <c r="K275" s="95"/>
      <c r="L275" s="96"/>
    </row>
    <row r="276" spans="3:12" x14ac:dyDescent="0.25">
      <c r="C276" s="90"/>
      <c r="D276" s="495"/>
      <c r="E276" s="495"/>
      <c r="F276" s="495"/>
      <c r="G276" s="495"/>
      <c r="H276" s="76"/>
      <c r="I276" s="97"/>
      <c r="J276" s="97"/>
      <c r="K276" s="95"/>
      <c r="L276" s="96"/>
    </row>
    <row r="277" spans="3:12" x14ac:dyDescent="0.25">
      <c r="C277" s="90"/>
      <c r="D277" s="495"/>
      <c r="E277" s="495"/>
      <c r="F277" s="495"/>
      <c r="G277" s="495"/>
      <c r="H277" s="76"/>
      <c r="I277" s="97"/>
      <c r="J277" s="97"/>
      <c r="K277" s="95"/>
      <c r="L277" s="96"/>
    </row>
    <row r="278" spans="3:12" s="116" customFormat="1" x14ac:dyDescent="0.25">
      <c r="C278" s="83"/>
      <c r="D278" s="485" t="s">
        <v>512</v>
      </c>
      <c r="E278" s="485"/>
      <c r="F278" s="485"/>
      <c r="G278" s="485"/>
      <c r="H278" s="485"/>
      <c r="I278" s="485"/>
      <c r="J278" s="485"/>
      <c r="K278" s="485"/>
      <c r="L278" s="98">
        <f>L275</f>
        <v>0</v>
      </c>
    </row>
    <row r="279" spans="3:12" s="116" customFormat="1" x14ac:dyDescent="0.25">
      <c r="C279" s="477"/>
      <c r="D279" s="478"/>
      <c r="E279" s="478"/>
      <c r="F279" s="478"/>
      <c r="G279" s="478"/>
      <c r="H279" s="478"/>
      <c r="I279" s="478"/>
      <c r="J279" s="478"/>
      <c r="K279" s="478"/>
      <c r="L279" s="479"/>
    </row>
    <row r="280" spans="3:12" x14ac:dyDescent="0.25">
      <c r="C280" s="466" t="s">
        <v>513</v>
      </c>
      <c r="D280" s="467"/>
      <c r="E280" s="467"/>
      <c r="F280" s="467"/>
      <c r="G280" s="467"/>
      <c r="H280" s="467"/>
      <c r="I280" s="467"/>
      <c r="J280" s="467"/>
      <c r="K280" s="467"/>
      <c r="L280" s="468"/>
    </row>
    <row r="281" spans="3:12" x14ac:dyDescent="0.25">
      <c r="C281" s="72" t="s">
        <v>66</v>
      </c>
      <c r="D281" s="492" t="s">
        <v>498</v>
      </c>
      <c r="E281" s="492"/>
      <c r="F281" s="85" t="s">
        <v>499</v>
      </c>
      <c r="G281" s="85" t="s">
        <v>506</v>
      </c>
      <c r="H281" s="73" t="s">
        <v>514</v>
      </c>
      <c r="I281" s="99" t="s">
        <v>515</v>
      </c>
      <c r="J281" s="85" t="s">
        <v>516</v>
      </c>
      <c r="K281" s="99" t="s">
        <v>517</v>
      </c>
      <c r="L281" s="100" t="s">
        <v>502</v>
      </c>
    </row>
    <row r="282" spans="3:12" x14ac:dyDescent="0.25">
      <c r="C282" s="79" t="s">
        <v>518</v>
      </c>
      <c r="D282" s="460" t="str">
        <f>'MANO DE OBRA'!$B$2</f>
        <v>Oficial</v>
      </c>
      <c r="E282" s="461"/>
      <c r="F282" s="97" t="str">
        <f>'MANO DE OBRA'!$C$2</f>
        <v>DIA</v>
      </c>
      <c r="G282" s="76">
        <v>1</v>
      </c>
      <c r="H282" s="101">
        <f>'MANO DE OBRA'!$D$2</f>
        <v>47982</v>
      </c>
      <c r="I282" s="102">
        <v>0.75649999999999995</v>
      </c>
      <c r="J282" s="103">
        <f>(H282+(H282*I282))</f>
        <v>84280.383000000002</v>
      </c>
      <c r="K282" s="76">
        <v>1</v>
      </c>
      <c r="L282" s="96">
        <f>G282*(J282/K282)</f>
        <v>84280.383000000002</v>
      </c>
    </row>
    <row r="283" spans="3:12" x14ac:dyDescent="0.25">
      <c r="C283" s="79" t="s">
        <v>519</v>
      </c>
      <c r="D283" s="460" t="str">
        <f>'MANO DE OBRA'!$B$3</f>
        <v>Ayudante</v>
      </c>
      <c r="E283" s="461"/>
      <c r="F283" s="97" t="str">
        <f>'MANO DE OBRA'!$C$3</f>
        <v>DIA</v>
      </c>
      <c r="G283" s="76">
        <v>1</v>
      </c>
      <c r="H283" s="101">
        <f>'MANO DE OBRA'!$D$3</f>
        <v>28981.77</v>
      </c>
      <c r="I283" s="102">
        <v>0.75649999999999995</v>
      </c>
      <c r="J283" s="103">
        <f>(H283+(H283*I283))</f>
        <v>50906.479005000001</v>
      </c>
      <c r="K283" s="76">
        <v>1</v>
      </c>
      <c r="L283" s="96">
        <f>G283*(J283/K283)</f>
        <v>50906.479005000001</v>
      </c>
    </row>
    <row r="284" spans="3:12" x14ac:dyDescent="0.25">
      <c r="C284" s="90"/>
      <c r="D284" s="493"/>
      <c r="E284" s="493"/>
      <c r="F284" s="97"/>
      <c r="G284" s="76"/>
      <c r="H284" s="101"/>
      <c r="I284" s="102"/>
      <c r="J284" s="103"/>
      <c r="K284" s="76"/>
      <c r="L284" s="96"/>
    </row>
    <row r="285" spans="3:12" s="116" customFormat="1" x14ac:dyDescent="0.25">
      <c r="C285" s="83"/>
      <c r="D285" s="485" t="s">
        <v>520</v>
      </c>
      <c r="E285" s="485"/>
      <c r="F285" s="485"/>
      <c r="G285" s="485"/>
      <c r="H285" s="485"/>
      <c r="I285" s="485"/>
      <c r="J285" s="485"/>
      <c r="K285" s="485"/>
      <c r="L285" s="98">
        <f>L283+L282</f>
        <v>135186.862005</v>
      </c>
    </row>
    <row r="286" spans="3:12" ht="13.5" thickBot="1" x14ac:dyDescent="0.3">
      <c r="C286" s="486"/>
      <c r="D286" s="487"/>
      <c r="E286" s="487"/>
      <c r="F286" s="487"/>
      <c r="G286" s="487"/>
      <c r="H286" s="487"/>
      <c r="I286" s="487"/>
      <c r="J286" s="487"/>
      <c r="K286" s="487"/>
      <c r="L286" s="488"/>
    </row>
    <row r="287" spans="3:12" ht="13.5" thickBot="1" x14ac:dyDescent="0.3">
      <c r="C287" s="489" t="s">
        <v>521</v>
      </c>
      <c r="D287" s="490"/>
      <c r="E287" s="490"/>
      <c r="F287" s="490"/>
      <c r="G287" s="490"/>
      <c r="H287" s="490"/>
      <c r="I287" s="490"/>
      <c r="J287" s="491"/>
      <c r="K287" s="145">
        <f>ROUND(L285+L278+L271+L264,0)</f>
        <v>331400</v>
      </c>
      <c r="L287" s="146"/>
    </row>
    <row r="290" spans="3:12" s="116" customFormat="1" x14ac:dyDescent="0.25">
      <c r="C290" s="466" t="s">
        <v>495</v>
      </c>
      <c r="D290" s="467"/>
      <c r="E290" s="467"/>
      <c r="F290" s="467"/>
      <c r="G290" s="467"/>
      <c r="H290" s="467"/>
      <c r="I290" s="467"/>
      <c r="J290" s="467"/>
      <c r="K290" s="467"/>
      <c r="L290" s="468"/>
    </row>
    <row r="291" spans="3:12" s="116" customFormat="1" x14ac:dyDescent="0.25">
      <c r="C291" s="469" t="str">
        <f>+PPTO!A2</f>
        <v>REPOSICION E INSTALACION VALVULAS DE SECTORIZACION EN DIFERENTES SECTORES DEL MUNICIPIO DE PIEDECUESTA - SANTANDER.</v>
      </c>
      <c r="D291" s="470"/>
      <c r="E291" s="470"/>
      <c r="F291" s="470"/>
      <c r="G291" s="470"/>
      <c r="H291" s="470"/>
      <c r="I291" s="470"/>
      <c r="J291" s="470"/>
      <c r="K291" s="470"/>
      <c r="L291" s="471"/>
    </row>
    <row r="292" spans="3:12" x14ac:dyDescent="0.25">
      <c r="C292" s="472" t="s">
        <v>496</v>
      </c>
      <c r="D292" s="141">
        <f>+PPTO!A15</f>
        <v>3</v>
      </c>
      <c r="E292" s="474" t="str">
        <f>+PPTO!B15</f>
        <v>CONCRETOS Y ESTRUCTURAS</v>
      </c>
      <c r="F292" s="475"/>
      <c r="G292" s="475"/>
      <c r="H292" s="475"/>
      <c r="I292" s="475"/>
      <c r="J292" s="475"/>
      <c r="K292" s="475"/>
      <c r="L292" s="70" t="s">
        <v>52</v>
      </c>
    </row>
    <row r="293" spans="3:12" ht="30" customHeight="1" x14ac:dyDescent="0.25">
      <c r="C293" s="473"/>
      <c r="D293" s="120">
        <f>+PPTO!A17</f>
        <v>3.02</v>
      </c>
      <c r="E293" s="476" t="str">
        <f>+PPTO!B17</f>
        <v>rehabilitación caja para válvula placa en concreto incluye tapa en HD</v>
      </c>
      <c r="F293" s="476"/>
      <c r="G293" s="476"/>
      <c r="H293" s="476"/>
      <c r="I293" s="476"/>
      <c r="J293" s="476"/>
      <c r="K293" s="476"/>
      <c r="L293" s="71" t="str">
        <f>+PPTO!C17</f>
        <v>UND</v>
      </c>
    </row>
    <row r="294" spans="3:12" x14ac:dyDescent="0.25">
      <c r="C294" s="477"/>
      <c r="D294" s="478"/>
      <c r="E294" s="478"/>
      <c r="F294" s="478"/>
      <c r="G294" s="478"/>
      <c r="H294" s="478"/>
      <c r="I294" s="478"/>
      <c r="J294" s="478"/>
      <c r="K294" s="478"/>
      <c r="L294" s="479"/>
    </row>
    <row r="295" spans="3:12" x14ac:dyDescent="0.25">
      <c r="C295" s="466" t="s">
        <v>497</v>
      </c>
      <c r="D295" s="467"/>
      <c r="E295" s="467"/>
      <c r="F295" s="467"/>
      <c r="G295" s="467"/>
      <c r="H295" s="467"/>
      <c r="I295" s="467"/>
      <c r="J295" s="467"/>
      <c r="K295" s="467"/>
      <c r="L295" s="468"/>
    </row>
    <row r="296" spans="3:12" x14ac:dyDescent="0.25">
      <c r="C296" s="72" t="s">
        <v>66</v>
      </c>
      <c r="D296" s="492" t="s">
        <v>498</v>
      </c>
      <c r="E296" s="492"/>
      <c r="F296" s="492"/>
      <c r="G296" s="492"/>
      <c r="H296" s="492"/>
      <c r="I296" s="73" t="s">
        <v>499</v>
      </c>
      <c r="J296" s="74" t="s">
        <v>500</v>
      </c>
      <c r="K296" s="73" t="s">
        <v>501</v>
      </c>
      <c r="L296" s="70" t="s">
        <v>502</v>
      </c>
    </row>
    <row r="297" spans="3:12" x14ac:dyDescent="0.25">
      <c r="C297" s="79"/>
      <c r="D297" s="493" t="s">
        <v>503</v>
      </c>
      <c r="E297" s="493"/>
      <c r="F297" s="493"/>
      <c r="G297" s="493"/>
      <c r="H297" s="493"/>
      <c r="I297" s="76" t="s">
        <v>61</v>
      </c>
      <c r="J297" s="80">
        <v>1</v>
      </c>
      <c r="K297" s="81">
        <f>L322*0.1</f>
        <v>509.06479005000006</v>
      </c>
      <c r="L297" s="82">
        <f>K297/J297</f>
        <v>509.06479005000006</v>
      </c>
    </row>
    <row r="298" spans="3:12" s="116" customFormat="1" x14ac:dyDescent="0.25">
      <c r="C298" s="83"/>
      <c r="D298" s="485" t="s">
        <v>504</v>
      </c>
      <c r="E298" s="485"/>
      <c r="F298" s="485"/>
      <c r="G298" s="485"/>
      <c r="H298" s="485"/>
      <c r="I298" s="485"/>
      <c r="J298" s="485"/>
      <c r="K298" s="485"/>
      <c r="L298" s="84">
        <f>L297</f>
        <v>509.06479005000006</v>
      </c>
    </row>
    <row r="299" spans="3:12" s="116" customFormat="1" x14ac:dyDescent="0.25">
      <c r="C299" s="477"/>
      <c r="D299" s="478"/>
      <c r="E299" s="478"/>
      <c r="F299" s="478"/>
      <c r="G299" s="478"/>
      <c r="H299" s="478"/>
      <c r="I299" s="478"/>
      <c r="J299" s="478"/>
      <c r="K299" s="478"/>
      <c r="L299" s="479"/>
    </row>
    <row r="300" spans="3:12" x14ac:dyDescent="0.25">
      <c r="C300" s="466" t="s">
        <v>505</v>
      </c>
      <c r="D300" s="467"/>
      <c r="E300" s="467"/>
      <c r="F300" s="467"/>
      <c r="G300" s="467"/>
      <c r="H300" s="467"/>
      <c r="I300" s="467"/>
      <c r="J300" s="467"/>
      <c r="K300" s="467"/>
      <c r="L300" s="468"/>
    </row>
    <row r="301" spans="3:12" ht="25.5" x14ac:dyDescent="0.25">
      <c r="C301" s="72" t="s">
        <v>66</v>
      </c>
      <c r="D301" s="492" t="s">
        <v>498</v>
      </c>
      <c r="E301" s="492"/>
      <c r="F301" s="492"/>
      <c r="G301" s="492"/>
      <c r="H301" s="73" t="s">
        <v>499</v>
      </c>
      <c r="I301" s="74" t="s">
        <v>506</v>
      </c>
      <c r="J301" s="73" t="s">
        <v>501</v>
      </c>
      <c r="K301" s="85" t="s">
        <v>507</v>
      </c>
      <c r="L301" s="70" t="s">
        <v>502</v>
      </c>
    </row>
    <row r="302" spans="3:12" x14ac:dyDescent="0.25">
      <c r="C302" s="72" t="str">
        <f>+MATERIALES!A283</f>
        <v>MAT-253</v>
      </c>
      <c r="D302" s="498" t="str">
        <f>+MATERIALES!B283</f>
        <v>Mortero 1:4 impermeabilizado</v>
      </c>
      <c r="E302" s="496"/>
      <c r="F302" s="496"/>
      <c r="G302" s="497"/>
      <c r="H302" s="73" t="str">
        <f>+MATERIALES!C283</f>
        <v>M3</v>
      </c>
      <c r="I302" s="76">
        <v>1.4999999999999999E-2</v>
      </c>
      <c r="J302" s="86">
        <f>+MATERIALES!D283</f>
        <v>485489</v>
      </c>
      <c r="K302" s="87">
        <v>0.01</v>
      </c>
      <c r="L302" s="88">
        <f>I302*J302*(1+K302)</f>
        <v>7355.1583499999997</v>
      </c>
    </row>
    <row r="303" spans="3:12" x14ac:dyDescent="0.25">
      <c r="C303" s="72" t="str">
        <f>+MATERIALES!A284</f>
        <v>MAT-254</v>
      </c>
      <c r="D303" s="498" t="str">
        <f>+MATERIALES!B284</f>
        <v>Concreto 3000 psi</v>
      </c>
      <c r="E303" s="496"/>
      <c r="F303" s="496"/>
      <c r="G303" s="497"/>
      <c r="H303" s="73" t="str">
        <f>+MATERIALES!C284</f>
        <v>M3</v>
      </c>
      <c r="I303" s="76">
        <v>1.7392718446601944E-2</v>
      </c>
      <c r="J303" s="86">
        <f>+MATERIALES!D284</f>
        <v>680000</v>
      </c>
      <c r="K303" s="87">
        <v>0.01</v>
      </c>
      <c r="L303" s="88">
        <f>I303*J303*(1+K303)</f>
        <v>11945.319029126214</v>
      </c>
    </row>
    <row r="304" spans="3:12" x14ac:dyDescent="0.25">
      <c r="C304" s="72" t="str">
        <f>+MATERIALES!A286</f>
        <v>MAT-256</v>
      </c>
      <c r="D304" s="498" t="str">
        <f>+MATERIALES!B286</f>
        <v>Tapa en HD</v>
      </c>
      <c r="E304" s="496"/>
      <c r="F304" s="496"/>
      <c r="G304" s="497"/>
      <c r="H304" s="73" t="str">
        <f>+MATERIALES!C286</f>
        <v>un</v>
      </c>
      <c r="I304" s="76">
        <v>1</v>
      </c>
      <c r="J304" s="86">
        <f>+MATERIALES!D286</f>
        <v>60000</v>
      </c>
      <c r="K304" s="87">
        <v>0</v>
      </c>
      <c r="L304" s="88">
        <f>I304*J304*(1+K304)</f>
        <v>60000</v>
      </c>
    </row>
    <row r="305" spans="3:14" x14ac:dyDescent="0.25">
      <c r="C305" s="72"/>
      <c r="D305" s="498"/>
      <c r="E305" s="496"/>
      <c r="F305" s="496"/>
      <c r="G305" s="497"/>
      <c r="H305" s="73"/>
      <c r="I305" s="76"/>
      <c r="J305" s="86"/>
      <c r="K305" s="87"/>
      <c r="L305" s="88"/>
    </row>
    <row r="306" spans="3:14" x14ac:dyDescent="0.25">
      <c r="C306" s="72"/>
      <c r="D306" s="460"/>
      <c r="E306" s="499"/>
      <c r="F306" s="499"/>
      <c r="G306" s="461"/>
      <c r="H306" s="73"/>
      <c r="I306" s="89"/>
      <c r="J306" s="86"/>
      <c r="K306" s="87"/>
      <c r="L306" s="88"/>
      <c r="N306" s="118"/>
    </row>
    <row r="307" spans="3:14" x14ac:dyDescent="0.25">
      <c r="C307" s="90"/>
      <c r="D307" s="500"/>
      <c r="E307" s="500"/>
      <c r="F307" s="500"/>
      <c r="G307" s="500"/>
      <c r="H307" s="97"/>
      <c r="I307" s="91"/>
      <c r="J307" s="92"/>
      <c r="K307" s="93"/>
      <c r="L307" s="82"/>
    </row>
    <row r="308" spans="3:14" x14ac:dyDescent="0.25">
      <c r="C308" s="94"/>
      <c r="D308" s="485" t="s">
        <v>508</v>
      </c>
      <c r="E308" s="485"/>
      <c r="F308" s="485"/>
      <c r="G308" s="485"/>
      <c r="H308" s="485"/>
      <c r="I308" s="485"/>
      <c r="J308" s="485"/>
      <c r="K308" s="485"/>
      <c r="L308" s="84">
        <f>SUM(L302:L307)</f>
        <v>79300.477379126212</v>
      </c>
    </row>
    <row r="309" spans="3:14" x14ac:dyDescent="0.25">
      <c r="C309" s="486"/>
      <c r="D309" s="487"/>
      <c r="E309" s="487"/>
      <c r="F309" s="487"/>
      <c r="G309" s="487"/>
      <c r="H309" s="487"/>
      <c r="I309" s="487"/>
      <c r="J309" s="487"/>
      <c r="K309" s="487"/>
      <c r="L309" s="488"/>
    </row>
    <row r="310" spans="3:14" x14ac:dyDescent="0.25">
      <c r="C310" s="466" t="s">
        <v>509</v>
      </c>
      <c r="D310" s="467"/>
      <c r="E310" s="467"/>
      <c r="F310" s="467"/>
      <c r="G310" s="467"/>
      <c r="H310" s="467"/>
      <c r="I310" s="467"/>
      <c r="J310" s="467"/>
      <c r="K310" s="467"/>
      <c r="L310" s="468"/>
    </row>
    <row r="311" spans="3:14" x14ac:dyDescent="0.25">
      <c r="C311" s="72" t="s">
        <v>66</v>
      </c>
      <c r="D311" s="492" t="s">
        <v>498</v>
      </c>
      <c r="E311" s="492"/>
      <c r="F311" s="492"/>
      <c r="G311" s="492"/>
      <c r="H311" s="73" t="s">
        <v>506</v>
      </c>
      <c r="I311" s="73" t="s">
        <v>499</v>
      </c>
      <c r="J311" s="74" t="s">
        <v>510</v>
      </c>
      <c r="K311" s="85" t="s">
        <v>511</v>
      </c>
      <c r="L311" s="70" t="s">
        <v>502</v>
      </c>
    </row>
    <row r="312" spans="3:14" x14ac:dyDescent="0.25">
      <c r="C312" s="90"/>
      <c r="D312" s="494"/>
      <c r="E312" s="494"/>
      <c r="F312" s="494"/>
      <c r="G312" s="494"/>
      <c r="H312" s="76"/>
      <c r="I312" s="97"/>
      <c r="J312" s="97"/>
      <c r="K312" s="95"/>
      <c r="L312" s="96"/>
    </row>
    <row r="313" spans="3:14" x14ac:dyDescent="0.25">
      <c r="C313" s="90"/>
      <c r="D313" s="495"/>
      <c r="E313" s="495"/>
      <c r="F313" s="495"/>
      <c r="G313" s="495"/>
      <c r="H313" s="76"/>
      <c r="I313" s="97"/>
      <c r="J313" s="97"/>
      <c r="K313" s="95"/>
      <c r="L313" s="96"/>
    </row>
    <row r="314" spans="3:14" x14ac:dyDescent="0.25">
      <c r="C314" s="90"/>
      <c r="D314" s="495"/>
      <c r="E314" s="495"/>
      <c r="F314" s="495"/>
      <c r="G314" s="495"/>
      <c r="H314" s="76"/>
      <c r="I314" s="97"/>
      <c r="J314" s="97"/>
      <c r="K314" s="95"/>
      <c r="L314" s="96"/>
    </row>
    <row r="315" spans="3:14" s="116" customFormat="1" x14ac:dyDescent="0.25">
      <c r="C315" s="83"/>
      <c r="D315" s="485" t="s">
        <v>512</v>
      </c>
      <c r="E315" s="485"/>
      <c r="F315" s="485"/>
      <c r="G315" s="485"/>
      <c r="H315" s="485"/>
      <c r="I315" s="485"/>
      <c r="J315" s="485"/>
      <c r="K315" s="485"/>
      <c r="L315" s="98">
        <f>L312</f>
        <v>0</v>
      </c>
    </row>
    <row r="316" spans="3:14" s="116" customFormat="1" x14ac:dyDescent="0.25">
      <c r="C316" s="477"/>
      <c r="D316" s="478"/>
      <c r="E316" s="478"/>
      <c r="F316" s="478"/>
      <c r="G316" s="478"/>
      <c r="H316" s="478"/>
      <c r="I316" s="478"/>
      <c r="J316" s="478"/>
      <c r="K316" s="478"/>
      <c r="L316" s="479"/>
    </row>
    <row r="317" spans="3:14" x14ac:dyDescent="0.25">
      <c r="C317" s="466" t="s">
        <v>513</v>
      </c>
      <c r="D317" s="467"/>
      <c r="E317" s="467"/>
      <c r="F317" s="467"/>
      <c r="G317" s="467"/>
      <c r="H317" s="467"/>
      <c r="I317" s="467"/>
      <c r="J317" s="467"/>
      <c r="K317" s="467"/>
      <c r="L317" s="468"/>
    </row>
    <row r="318" spans="3:14" x14ac:dyDescent="0.25">
      <c r="C318" s="72" t="s">
        <v>66</v>
      </c>
      <c r="D318" s="492" t="s">
        <v>498</v>
      </c>
      <c r="E318" s="492"/>
      <c r="F318" s="85" t="s">
        <v>499</v>
      </c>
      <c r="G318" s="85" t="s">
        <v>506</v>
      </c>
      <c r="H318" s="73" t="s">
        <v>514</v>
      </c>
      <c r="I318" s="99" t="s">
        <v>515</v>
      </c>
      <c r="J318" s="85" t="s">
        <v>516</v>
      </c>
      <c r="K318" s="99" t="s">
        <v>517</v>
      </c>
      <c r="L318" s="100" t="s">
        <v>502</v>
      </c>
    </row>
    <row r="319" spans="3:14" x14ac:dyDescent="0.25">
      <c r="C319" s="79" t="s">
        <v>519</v>
      </c>
      <c r="D319" s="460" t="str">
        <f>'MANO DE OBRA'!$B$3</f>
        <v>Ayudante</v>
      </c>
      <c r="E319" s="461"/>
      <c r="F319" s="97" t="str">
        <f>'MANO DE OBRA'!$C$3</f>
        <v>DIA</v>
      </c>
      <c r="G319" s="76">
        <v>1</v>
      </c>
      <c r="H319" s="101">
        <f>'MANO DE OBRA'!$D$3</f>
        <v>28981.77</v>
      </c>
      <c r="I319" s="102">
        <v>0.75649999999999995</v>
      </c>
      <c r="J319" s="103">
        <f>(H319+(H319*I319))</f>
        <v>50906.479005000001</v>
      </c>
      <c r="K319" s="76">
        <v>10</v>
      </c>
      <c r="L319" s="96">
        <f>G319*(J319/K319)</f>
        <v>5090.6479005000001</v>
      </c>
    </row>
    <row r="320" spans="3:14" x14ac:dyDescent="0.25">
      <c r="C320" s="79"/>
      <c r="D320" s="460"/>
      <c r="E320" s="461"/>
      <c r="F320" s="97"/>
      <c r="G320" s="76"/>
      <c r="H320" s="101"/>
      <c r="I320" s="102"/>
      <c r="J320" s="103"/>
      <c r="K320" s="76"/>
      <c r="L320" s="96"/>
    </row>
    <row r="321" spans="3:12" x14ac:dyDescent="0.25">
      <c r="C321" s="90"/>
      <c r="D321" s="493"/>
      <c r="E321" s="493"/>
      <c r="F321" s="97"/>
      <c r="G321" s="76"/>
      <c r="H321" s="101"/>
      <c r="I321" s="102"/>
      <c r="J321" s="103"/>
      <c r="K321" s="76"/>
      <c r="L321" s="96"/>
    </row>
    <row r="322" spans="3:12" s="116" customFormat="1" x14ac:dyDescent="0.25">
      <c r="C322" s="83"/>
      <c r="D322" s="485" t="s">
        <v>520</v>
      </c>
      <c r="E322" s="485"/>
      <c r="F322" s="485"/>
      <c r="G322" s="485"/>
      <c r="H322" s="485"/>
      <c r="I322" s="485"/>
      <c r="J322" s="485"/>
      <c r="K322" s="485"/>
      <c r="L322" s="98">
        <f>L320+L319</f>
        <v>5090.6479005000001</v>
      </c>
    </row>
    <row r="323" spans="3:12" ht="13.5" thickBot="1" x14ac:dyDescent="0.3">
      <c r="C323" s="486"/>
      <c r="D323" s="487"/>
      <c r="E323" s="487"/>
      <c r="F323" s="487"/>
      <c r="G323" s="487"/>
      <c r="H323" s="487"/>
      <c r="I323" s="487"/>
      <c r="J323" s="487"/>
      <c r="K323" s="487"/>
      <c r="L323" s="488"/>
    </row>
    <row r="324" spans="3:12" ht="13.5" thickBot="1" x14ac:dyDescent="0.3">
      <c r="C324" s="489" t="s">
        <v>521</v>
      </c>
      <c r="D324" s="490"/>
      <c r="E324" s="490"/>
      <c r="F324" s="490"/>
      <c r="G324" s="490"/>
      <c r="H324" s="490"/>
      <c r="I324" s="490"/>
      <c r="J324" s="491"/>
      <c r="K324" s="145">
        <f>ROUND(L322+L315+L308+L298,0)</f>
        <v>84900</v>
      </c>
      <c r="L324" s="146"/>
    </row>
    <row r="327" spans="3:12" s="116" customFormat="1" x14ac:dyDescent="0.25">
      <c r="C327" s="466" t="s">
        <v>495</v>
      </c>
      <c r="D327" s="467"/>
      <c r="E327" s="467"/>
      <c r="F327" s="467"/>
      <c r="G327" s="467"/>
      <c r="H327" s="467"/>
      <c r="I327" s="467"/>
      <c r="J327" s="467"/>
      <c r="K327" s="467"/>
      <c r="L327" s="468"/>
    </row>
    <row r="328" spans="3:12" s="116" customFormat="1" x14ac:dyDescent="0.25">
      <c r="C328" s="469" t="str">
        <f>+PPTO!A2</f>
        <v>REPOSICION E INSTALACION VALVULAS DE SECTORIZACION EN DIFERENTES SECTORES DEL MUNICIPIO DE PIEDECUESTA - SANTANDER.</v>
      </c>
      <c r="D328" s="470"/>
      <c r="E328" s="470"/>
      <c r="F328" s="470"/>
      <c r="G328" s="470"/>
      <c r="H328" s="470"/>
      <c r="I328" s="470"/>
      <c r="J328" s="470"/>
      <c r="K328" s="470"/>
      <c r="L328" s="471"/>
    </row>
    <row r="329" spans="3:12" x14ac:dyDescent="0.25">
      <c r="C329" s="472" t="s">
        <v>496</v>
      </c>
      <c r="D329" s="141">
        <f>+PPTO!A15</f>
        <v>3</v>
      </c>
      <c r="E329" s="474" t="str">
        <f>+PPTO!B15</f>
        <v>CONCRETOS Y ESTRUCTURAS</v>
      </c>
      <c r="F329" s="475"/>
      <c r="G329" s="475"/>
      <c r="H329" s="475"/>
      <c r="I329" s="475"/>
      <c r="J329" s="475"/>
      <c r="K329" s="475"/>
      <c r="L329" s="70" t="s">
        <v>52</v>
      </c>
    </row>
    <row r="330" spans="3:12" ht="30" customHeight="1" x14ac:dyDescent="0.25">
      <c r="C330" s="473"/>
      <c r="D330" s="120">
        <f>+PPTO!A18</f>
        <v>3.03</v>
      </c>
      <c r="E330" s="476" t="str">
        <f>+PPTO!B18</f>
        <v>Concreto simple f`c=2500 PSI para atraques</v>
      </c>
      <c r="F330" s="476"/>
      <c r="G330" s="476"/>
      <c r="H330" s="476"/>
      <c r="I330" s="476"/>
      <c r="J330" s="476"/>
      <c r="K330" s="476"/>
      <c r="L330" s="71" t="str">
        <f>+PPTO!C18</f>
        <v>M3</v>
      </c>
    </row>
    <row r="331" spans="3:12" x14ac:dyDescent="0.25">
      <c r="C331" s="477"/>
      <c r="D331" s="478"/>
      <c r="E331" s="478"/>
      <c r="F331" s="478"/>
      <c r="G331" s="478"/>
      <c r="H331" s="478"/>
      <c r="I331" s="478"/>
      <c r="J331" s="478"/>
      <c r="K331" s="478"/>
      <c r="L331" s="479"/>
    </row>
    <row r="332" spans="3:12" x14ac:dyDescent="0.25">
      <c r="C332" s="466" t="s">
        <v>497</v>
      </c>
      <c r="D332" s="467"/>
      <c r="E332" s="467"/>
      <c r="F332" s="467"/>
      <c r="G332" s="467"/>
      <c r="H332" s="467"/>
      <c r="I332" s="467"/>
      <c r="J332" s="467"/>
      <c r="K332" s="467"/>
      <c r="L332" s="468"/>
    </row>
    <row r="333" spans="3:12" x14ac:dyDescent="0.25">
      <c r="C333" s="72" t="s">
        <v>66</v>
      </c>
      <c r="D333" s="492" t="s">
        <v>498</v>
      </c>
      <c r="E333" s="492"/>
      <c r="F333" s="492"/>
      <c r="G333" s="492"/>
      <c r="H333" s="492"/>
      <c r="I333" s="73" t="s">
        <v>499</v>
      </c>
      <c r="J333" s="74" t="s">
        <v>500</v>
      </c>
      <c r="K333" s="73" t="s">
        <v>501</v>
      </c>
      <c r="L333" s="70" t="s">
        <v>502</v>
      </c>
    </row>
    <row r="334" spans="3:12" x14ac:dyDescent="0.25">
      <c r="C334" s="75"/>
      <c r="D334" s="460"/>
      <c r="E334" s="499"/>
      <c r="F334" s="499"/>
      <c r="G334" s="499"/>
      <c r="H334" s="461"/>
      <c r="I334" s="76"/>
      <c r="J334" s="76"/>
      <c r="K334" s="77"/>
      <c r="L334" s="78"/>
    </row>
    <row r="335" spans="3:12" x14ac:dyDescent="0.25">
      <c r="C335" s="75"/>
      <c r="D335" s="493"/>
      <c r="E335" s="493"/>
      <c r="F335" s="493"/>
      <c r="G335" s="493"/>
      <c r="H335" s="493"/>
      <c r="I335" s="76"/>
      <c r="J335" s="80"/>
      <c r="K335" s="81"/>
      <c r="L335" s="78"/>
    </row>
    <row r="336" spans="3:12" x14ac:dyDescent="0.25">
      <c r="C336" s="79"/>
      <c r="D336" s="493" t="s">
        <v>503</v>
      </c>
      <c r="E336" s="493"/>
      <c r="F336" s="493"/>
      <c r="G336" s="493"/>
      <c r="H336" s="493"/>
      <c r="I336" s="76" t="s">
        <v>61</v>
      </c>
      <c r="J336" s="80">
        <v>1</v>
      </c>
      <c r="K336" s="81">
        <f>L358*0.1</f>
        <v>4739.9964003000005</v>
      </c>
      <c r="L336" s="82">
        <f>K336/J336</f>
        <v>4739.9964003000005</v>
      </c>
    </row>
    <row r="337" spans="3:12" s="116" customFormat="1" x14ac:dyDescent="0.25">
      <c r="C337" s="83"/>
      <c r="D337" s="485" t="s">
        <v>504</v>
      </c>
      <c r="E337" s="485"/>
      <c r="F337" s="485"/>
      <c r="G337" s="485"/>
      <c r="H337" s="485"/>
      <c r="I337" s="485"/>
      <c r="J337" s="485"/>
      <c r="K337" s="485"/>
      <c r="L337" s="84">
        <f>SUM(L334:L336)</f>
        <v>4739.9964003000005</v>
      </c>
    </row>
    <row r="338" spans="3:12" s="116" customFormat="1" x14ac:dyDescent="0.25">
      <c r="C338" s="477"/>
      <c r="D338" s="478"/>
      <c r="E338" s="478"/>
      <c r="F338" s="478"/>
      <c r="G338" s="478"/>
      <c r="H338" s="478"/>
      <c r="I338" s="478"/>
      <c r="J338" s="478"/>
      <c r="K338" s="478"/>
      <c r="L338" s="479"/>
    </row>
    <row r="339" spans="3:12" x14ac:dyDescent="0.25">
      <c r="C339" s="466" t="s">
        <v>505</v>
      </c>
      <c r="D339" s="467"/>
      <c r="E339" s="467"/>
      <c r="F339" s="467"/>
      <c r="G339" s="467"/>
      <c r="H339" s="467"/>
      <c r="I339" s="467"/>
      <c r="J339" s="467"/>
      <c r="K339" s="467"/>
      <c r="L339" s="468"/>
    </row>
    <row r="340" spans="3:12" ht="25.5" x14ac:dyDescent="0.25">
      <c r="C340" s="72" t="s">
        <v>66</v>
      </c>
      <c r="D340" s="492" t="s">
        <v>498</v>
      </c>
      <c r="E340" s="492"/>
      <c r="F340" s="492"/>
      <c r="G340" s="492"/>
      <c r="H340" s="73" t="s">
        <v>499</v>
      </c>
      <c r="I340" s="74" t="s">
        <v>506</v>
      </c>
      <c r="J340" s="73" t="s">
        <v>501</v>
      </c>
      <c r="K340" s="85" t="s">
        <v>507</v>
      </c>
      <c r="L340" s="70" t="s">
        <v>502</v>
      </c>
    </row>
    <row r="341" spans="3:12" x14ac:dyDescent="0.25">
      <c r="C341" s="72" t="str">
        <f>+MATERIALES!A184</f>
        <v>MAT-162</v>
      </c>
      <c r="D341" s="498" t="str">
        <f>+MATERIALES!B184</f>
        <v xml:space="preserve">Concreto 2500 PSI </v>
      </c>
      <c r="E341" s="496"/>
      <c r="F341" s="496"/>
      <c r="G341" s="497"/>
      <c r="H341" s="73" t="str">
        <f>+MATERIALES!C184</f>
        <v>M3</v>
      </c>
      <c r="I341" s="76">
        <v>1</v>
      </c>
      <c r="J341" s="86">
        <f>+MATERIALES!D184</f>
        <v>524514.87108951597</v>
      </c>
      <c r="K341" s="87">
        <v>0.01</v>
      </c>
      <c r="L341" s="88">
        <f>I341*J341*(1+K341)</f>
        <v>529760.01980041119</v>
      </c>
    </row>
    <row r="342" spans="3:12" x14ac:dyDescent="0.25">
      <c r="C342" s="72"/>
      <c r="D342" s="460"/>
      <c r="E342" s="499"/>
      <c r="F342" s="499"/>
      <c r="G342" s="461"/>
      <c r="H342" s="73"/>
      <c r="I342" s="76"/>
      <c r="J342" s="86"/>
      <c r="K342" s="87"/>
      <c r="L342" s="88"/>
    </row>
    <row r="343" spans="3:12" x14ac:dyDescent="0.25">
      <c r="C343" s="90"/>
      <c r="D343" s="500"/>
      <c r="E343" s="500"/>
      <c r="F343" s="500"/>
      <c r="G343" s="500"/>
      <c r="H343" s="97"/>
      <c r="I343" s="91"/>
      <c r="J343" s="92"/>
      <c r="K343" s="93"/>
      <c r="L343" s="82"/>
    </row>
    <row r="344" spans="3:12" x14ac:dyDescent="0.25">
      <c r="C344" s="94"/>
      <c r="D344" s="485" t="s">
        <v>508</v>
      </c>
      <c r="E344" s="485"/>
      <c r="F344" s="485"/>
      <c r="G344" s="485"/>
      <c r="H344" s="485"/>
      <c r="I344" s="485"/>
      <c r="J344" s="485"/>
      <c r="K344" s="485"/>
      <c r="L344" s="84">
        <f>SUM(L341:L343)</f>
        <v>529760.01980041119</v>
      </c>
    </row>
    <row r="345" spans="3:12" x14ac:dyDescent="0.25">
      <c r="C345" s="486"/>
      <c r="D345" s="487"/>
      <c r="E345" s="487"/>
      <c r="F345" s="487"/>
      <c r="G345" s="487"/>
      <c r="H345" s="487"/>
      <c r="I345" s="487"/>
      <c r="J345" s="487"/>
      <c r="K345" s="487"/>
      <c r="L345" s="488"/>
    </row>
    <row r="346" spans="3:12" x14ac:dyDescent="0.25">
      <c r="C346" s="466" t="s">
        <v>509</v>
      </c>
      <c r="D346" s="467"/>
      <c r="E346" s="467"/>
      <c r="F346" s="467"/>
      <c r="G346" s="467"/>
      <c r="H346" s="467"/>
      <c r="I346" s="467"/>
      <c r="J346" s="467"/>
      <c r="K346" s="467"/>
      <c r="L346" s="468"/>
    </row>
    <row r="347" spans="3:12" x14ac:dyDescent="0.25">
      <c r="C347" s="72" t="s">
        <v>66</v>
      </c>
      <c r="D347" s="492" t="s">
        <v>498</v>
      </c>
      <c r="E347" s="492"/>
      <c r="F347" s="492"/>
      <c r="G347" s="492"/>
      <c r="H347" s="73" t="s">
        <v>506</v>
      </c>
      <c r="I347" s="73" t="s">
        <v>499</v>
      </c>
      <c r="J347" s="74" t="s">
        <v>510</v>
      </c>
      <c r="K347" s="85" t="s">
        <v>511</v>
      </c>
      <c r="L347" s="70" t="s">
        <v>502</v>
      </c>
    </row>
    <row r="348" spans="3:12" x14ac:dyDescent="0.25">
      <c r="C348" s="90"/>
      <c r="D348" s="494"/>
      <c r="E348" s="494"/>
      <c r="F348" s="494"/>
      <c r="G348" s="494"/>
      <c r="H348" s="76"/>
      <c r="I348" s="97"/>
      <c r="J348" s="97"/>
      <c r="K348" s="95"/>
      <c r="L348" s="96"/>
    </row>
    <row r="349" spans="3:12" x14ac:dyDescent="0.25">
      <c r="C349" s="90"/>
      <c r="D349" s="495"/>
      <c r="E349" s="495"/>
      <c r="F349" s="495"/>
      <c r="G349" s="495"/>
      <c r="H349" s="76"/>
      <c r="I349" s="97"/>
      <c r="J349" s="97"/>
      <c r="K349" s="95"/>
      <c r="L349" s="96"/>
    </row>
    <row r="350" spans="3:12" x14ac:dyDescent="0.25">
      <c r="C350" s="90"/>
      <c r="D350" s="495"/>
      <c r="E350" s="495"/>
      <c r="F350" s="495"/>
      <c r="G350" s="495"/>
      <c r="H350" s="76"/>
      <c r="I350" s="97"/>
      <c r="J350" s="97"/>
      <c r="K350" s="95"/>
      <c r="L350" s="96"/>
    </row>
    <row r="351" spans="3:12" s="116" customFormat="1" x14ac:dyDescent="0.25">
      <c r="C351" s="83"/>
      <c r="D351" s="485" t="s">
        <v>512</v>
      </c>
      <c r="E351" s="485"/>
      <c r="F351" s="485"/>
      <c r="G351" s="485"/>
      <c r="H351" s="485"/>
      <c r="I351" s="485"/>
      <c r="J351" s="485"/>
      <c r="K351" s="485"/>
      <c r="L351" s="98">
        <f>L348</f>
        <v>0</v>
      </c>
    </row>
    <row r="352" spans="3:12" s="116" customFormat="1" x14ac:dyDescent="0.25">
      <c r="C352" s="477"/>
      <c r="D352" s="478"/>
      <c r="E352" s="478"/>
      <c r="F352" s="478"/>
      <c r="G352" s="478"/>
      <c r="H352" s="478"/>
      <c r="I352" s="478"/>
      <c r="J352" s="478"/>
      <c r="K352" s="478"/>
      <c r="L352" s="479"/>
    </row>
    <row r="353" spans="3:12" x14ac:dyDescent="0.25">
      <c r="C353" s="466" t="s">
        <v>513</v>
      </c>
      <c r="D353" s="467"/>
      <c r="E353" s="467"/>
      <c r="F353" s="467"/>
      <c r="G353" s="467"/>
      <c r="H353" s="467"/>
      <c r="I353" s="467"/>
      <c r="J353" s="467"/>
      <c r="K353" s="467"/>
      <c r="L353" s="468"/>
    </row>
    <row r="354" spans="3:12" x14ac:dyDescent="0.25">
      <c r="C354" s="72" t="s">
        <v>66</v>
      </c>
      <c r="D354" s="492" t="s">
        <v>498</v>
      </c>
      <c r="E354" s="492"/>
      <c r="F354" s="85" t="s">
        <v>499</v>
      </c>
      <c r="G354" s="85" t="s">
        <v>506</v>
      </c>
      <c r="H354" s="73" t="s">
        <v>514</v>
      </c>
      <c r="I354" s="99" t="s">
        <v>515</v>
      </c>
      <c r="J354" s="85" t="s">
        <v>516</v>
      </c>
      <c r="K354" s="99" t="s">
        <v>517</v>
      </c>
      <c r="L354" s="100" t="s">
        <v>502</v>
      </c>
    </row>
    <row r="355" spans="3:12" x14ac:dyDescent="0.25">
      <c r="C355" s="79" t="s">
        <v>519</v>
      </c>
      <c r="D355" s="460" t="str">
        <f>'MANO DE OBRA'!$B$3</f>
        <v>Ayudante</v>
      </c>
      <c r="E355" s="461"/>
      <c r="F355" s="97" t="str">
        <f>'MANO DE OBRA'!$C$2</f>
        <v>DIA</v>
      </c>
      <c r="G355" s="76">
        <v>3</v>
      </c>
      <c r="H355" s="101">
        <f>'MANO DE OBRA'!$D$3</f>
        <v>28981.77</v>
      </c>
      <c r="I355" s="102">
        <v>0.75649999999999995</v>
      </c>
      <c r="J355" s="103">
        <f>(H355+(H355*I355))</f>
        <v>50906.479005000001</v>
      </c>
      <c r="K355" s="76">
        <v>5</v>
      </c>
      <c r="L355" s="96">
        <f>G355*(J355/K355)</f>
        <v>30543.887403000001</v>
      </c>
    </row>
    <row r="356" spans="3:12" x14ac:dyDescent="0.25">
      <c r="C356" s="79" t="s">
        <v>526</v>
      </c>
      <c r="D356" s="460" t="str">
        <f>'MANO DE OBRA'!$B$2</f>
        <v>Oficial</v>
      </c>
      <c r="E356" s="461"/>
      <c r="F356" s="97" t="str">
        <f>'MANO DE OBRA'!$C$3</f>
        <v>DIA</v>
      </c>
      <c r="G356" s="76">
        <v>1</v>
      </c>
      <c r="H356" s="101">
        <f>'MANO DE OBRA'!$D$2</f>
        <v>47982</v>
      </c>
      <c r="I356" s="102">
        <v>0.75649999999999995</v>
      </c>
      <c r="J356" s="103">
        <f>(H356+(H356*I356))</f>
        <v>84280.383000000002</v>
      </c>
      <c r="K356" s="76">
        <v>5</v>
      </c>
      <c r="L356" s="96">
        <f>G356*(J356/K356)</f>
        <v>16856.0766</v>
      </c>
    </row>
    <row r="357" spans="3:12" x14ac:dyDescent="0.25">
      <c r="C357" s="90"/>
      <c r="D357" s="493"/>
      <c r="E357" s="493"/>
      <c r="F357" s="97"/>
      <c r="G357" s="76"/>
      <c r="H357" s="101"/>
      <c r="I357" s="102"/>
      <c r="J357" s="103"/>
      <c r="K357" s="76"/>
      <c r="L357" s="96"/>
    </row>
    <row r="358" spans="3:12" s="116" customFormat="1" x14ac:dyDescent="0.25">
      <c r="C358" s="83"/>
      <c r="D358" s="485" t="s">
        <v>520</v>
      </c>
      <c r="E358" s="485"/>
      <c r="F358" s="485"/>
      <c r="G358" s="485"/>
      <c r="H358" s="485"/>
      <c r="I358" s="485"/>
      <c r="J358" s="485"/>
      <c r="K358" s="485"/>
      <c r="L358" s="98">
        <f>L356+L355</f>
        <v>47399.964003000001</v>
      </c>
    </row>
    <row r="359" spans="3:12" ht="13.5" thickBot="1" x14ac:dyDescent="0.3">
      <c r="C359" s="486"/>
      <c r="D359" s="487"/>
      <c r="E359" s="487"/>
      <c r="F359" s="487"/>
      <c r="G359" s="487"/>
      <c r="H359" s="487"/>
      <c r="I359" s="487"/>
      <c r="J359" s="487"/>
      <c r="K359" s="487"/>
      <c r="L359" s="488"/>
    </row>
    <row r="360" spans="3:12" ht="13.5" thickBot="1" x14ac:dyDescent="0.3">
      <c r="C360" s="489" t="s">
        <v>521</v>
      </c>
      <c r="D360" s="490"/>
      <c r="E360" s="490"/>
      <c r="F360" s="490"/>
      <c r="G360" s="490"/>
      <c r="H360" s="490"/>
      <c r="I360" s="490"/>
      <c r="J360" s="491"/>
      <c r="K360" s="145">
        <f>ROUND(L358+L351+L344+L337,0)</f>
        <v>581900</v>
      </c>
      <c r="L360" s="146"/>
    </row>
    <row r="362" spans="3:12" ht="13.5" thickBot="1" x14ac:dyDescent="0.3"/>
    <row r="363" spans="3:12" x14ac:dyDescent="0.25">
      <c r="C363" s="466" t="s">
        <v>495</v>
      </c>
      <c r="D363" s="467"/>
      <c r="E363" s="467"/>
      <c r="F363" s="467"/>
      <c r="G363" s="467"/>
      <c r="H363" s="467"/>
      <c r="I363" s="467"/>
      <c r="J363" s="467"/>
      <c r="K363" s="467"/>
      <c r="L363" s="468"/>
    </row>
    <row r="364" spans="3:12" x14ac:dyDescent="0.25">
      <c r="C364" s="469" t="str">
        <f>+PPTO!$A$2</f>
        <v>REPOSICION E INSTALACION VALVULAS DE SECTORIZACION EN DIFERENTES SECTORES DEL MUNICIPIO DE PIEDECUESTA - SANTANDER.</v>
      </c>
      <c r="D364" s="470"/>
      <c r="E364" s="470"/>
      <c r="F364" s="470"/>
      <c r="G364" s="470"/>
      <c r="H364" s="470"/>
      <c r="I364" s="470"/>
      <c r="J364" s="470"/>
      <c r="K364" s="470"/>
      <c r="L364" s="471"/>
    </row>
    <row r="365" spans="3:12" x14ac:dyDescent="0.25">
      <c r="C365" s="472" t="s">
        <v>496</v>
      </c>
      <c r="D365" s="141">
        <f>+PPTO!$A$20</f>
        <v>4</v>
      </c>
      <c r="E365" s="474" t="str">
        <f>+PPTO!$B$20</f>
        <v>SUMINISTRO E INSTALACION DE TUBERIAS Y ACCESORIOS.</v>
      </c>
      <c r="F365" s="475"/>
      <c r="G365" s="475"/>
      <c r="H365" s="475"/>
      <c r="I365" s="475"/>
      <c r="J365" s="475"/>
      <c r="K365" s="475"/>
      <c r="L365" s="70" t="s">
        <v>52</v>
      </c>
    </row>
    <row r="366" spans="3:12" ht="13.5" thickBot="1" x14ac:dyDescent="0.3">
      <c r="C366" s="473"/>
      <c r="D366" s="120">
        <f>+PPTO!A21</f>
        <v>4.01</v>
      </c>
      <c r="E366" s="476" t="str">
        <f>+PPTO!B21</f>
        <v>Suministro e instalación de válvula  D=4" en HD JH</v>
      </c>
      <c r="F366" s="476"/>
      <c r="G366" s="476"/>
      <c r="H366" s="476"/>
      <c r="I366" s="476"/>
      <c r="J366" s="476"/>
      <c r="K366" s="476"/>
      <c r="L366" s="71" t="str">
        <f>+PPTO!C21</f>
        <v>UND</v>
      </c>
    </row>
    <row r="367" spans="3:12" ht="13.5" thickBot="1" x14ac:dyDescent="0.3">
      <c r="C367" s="477"/>
      <c r="D367" s="478"/>
      <c r="E367" s="478"/>
      <c r="F367" s="478"/>
      <c r="G367" s="478"/>
      <c r="H367" s="478"/>
      <c r="I367" s="478"/>
      <c r="J367" s="478"/>
      <c r="K367" s="478"/>
      <c r="L367" s="479"/>
    </row>
    <row r="368" spans="3:12" x14ac:dyDescent="0.25">
      <c r="C368" s="466" t="s">
        <v>497</v>
      </c>
      <c r="D368" s="467"/>
      <c r="E368" s="467"/>
      <c r="F368" s="467"/>
      <c r="G368" s="467"/>
      <c r="H368" s="467"/>
      <c r="I368" s="467"/>
      <c r="J368" s="467"/>
      <c r="K368" s="467"/>
      <c r="L368" s="468"/>
    </row>
    <row r="369" spans="3:15" x14ac:dyDescent="0.25">
      <c r="C369" s="72" t="s">
        <v>66</v>
      </c>
      <c r="D369" s="492" t="s">
        <v>498</v>
      </c>
      <c r="E369" s="492"/>
      <c r="F369" s="492"/>
      <c r="G369" s="492"/>
      <c r="H369" s="492"/>
      <c r="I369" s="73" t="s">
        <v>499</v>
      </c>
      <c r="J369" s="74" t="s">
        <v>500</v>
      </c>
      <c r="K369" s="73" t="s">
        <v>501</v>
      </c>
      <c r="L369" s="70" t="s">
        <v>502</v>
      </c>
    </row>
    <row r="370" spans="3:15" x14ac:dyDescent="0.25">
      <c r="C370" s="75"/>
      <c r="D370" s="460"/>
      <c r="E370" s="499"/>
      <c r="F370" s="499"/>
      <c r="G370" s="499"/>
      <c r="H370" s="461"/>
      <c r="I370" s="76"/>
      <c r="J370" s="76"/>
      <c r="K370" s="77"/>
      <c r="L370" s="78"/>
    </row>
    <row r="371" spans="3:15" x14ac:dyDescent="0.25">
      <c r="C371" s="147"/>
      <c r="D371" s="493"/>
      <c r="E371" s="493"/>
      <c r="F371" s="493"/>
      <c r="G371" s="493"/>
      <c r="H371" s="493"/>
      <c r="I371" s="76"/>
      <c r="J371" s="80"/>
      <c r="K371" s="81"/>
      <c r="L371" s="78"/>
    </row>
    <row r="372" spans="3:15" x14ac:dyDescent="0.25">
      <c r="C372" s="79"/>
      <c r="D372" s="493" t="s">
        <v>503</v>
      </c>
      <c r="E372" s="493"/>
      <c r="F372" s="493"/>
      <c r="G372" s="493"/>
      <c r="H372" s="493"/>
      <c r="I372" s="76" t="s">
        <v>61</v>
      </c>
      <c r="J372" s="80">
        <v>1</v>
      </c>
      <c r="K372" s="81">
        <f>L394*0.1</f>
        <v>5924.9955003750001</v>
      </c>
      <c r="L372" s="82">
        <f>K372/J372</f>
        <v>5924.9955003750001</v>
      </c>
    </row>
    <row r="373" spans="3:15" ht="13.5" thickBot="1" x14ac:dyDescent="0.3">
      <c r="C373" s="83"/>
      <c r="D373" s="485" t="s">
        <v>504</v>
      </c>
      <c r="E373" s="485"/>
      <c r="F373" s="485"/>
      <c r="G373" s="485"/>
      <c r="H373" s="485"/>
      <c r="I373" s="485"/>
      <c r="J373" s="485"/>
      <c r="K373" s="485"/>
      <c r="L373" s="84">
        <f>SUM(L370:L372)</f>
        <v>5924.9955003750001</v>
      </c>
    </row>
    <row r="374" spans="3:15" ht="13.5" thickBot="1" x14ac:dyDescent="0.3">
      <c r="C374" s="477"/>
      <c r="D374" s="478"/>
      <c r="E374" s="478"/>
      <c r="F374" s="478"/>
      <c r="G374" s="478"/>
      <c r="H374" s="478"/>
      <c r="I374" s="478"/>
      <c r="J374" s="478"/>
      <c r="K374" s="478"/>
      <c r="L374" s="479"/>
    </row>
    <row r="375" spans="3:15" x14ac:dyDescent="0.25">
      <c r="C375" s="466" t="s">
        <v>505</v>
      </c>
      <c r="D375" s="467"/>
      <c r="E375" s="467"/>
      <c r="F375" s="467"/>
      <c r="G375" s="467"/>
      <c r="H375" s="467"/>
      <c r="I375" s="467"/>
      <c r="J375" s="467"/>
      <c r="K375" s="467"/>
      <c r="L375" s="468"/>
    </row>
    <row r="376" spans="3:15" ht="25.5" x14ac:dyDescent="0.25">
      <c r="C376" s="72" t="s">
        <v>66</v>
      </c>
      <c r="D376" s="492" t="s">
        <v>498</v>
      </c>
      <c r="E376" s="492"/>
      <c r="F376" s="492"/>
      <c r="G376" s="492"/>
      <c r="H376" s="73" t="s">
        <v>499</v>
      </c>
      <c r="I376" s="74" t="s">
        <v>506</v>
      </c>
      <c r="J376" s="73" t="s">
        <v>501</v>
      </c>
      <c r="K376" s="85" t="s">
        <v>507</v>
      </c>
      <c r="L376" s="70" t="s">
        <v>502</v>
      </c>
    </row>
    <row r="377" spans="3:15" x14ac:dyDescent="0.25">
      <c r="C377" s="72" t="str">
        <f>+MATERIALES!A288</f>
        <v>MAT-258</v>
      </c>
      <c r="D377" s="498" t="str">
        <f>+MATERIALES!B288</f>
        <v>válvula  D=4" en HD JH</v>
      </c>
      <c r="E377" s="496"/>
      <c r="F377" s="496"/>
      <c r="G377" s="497"/>
      <c r="H377" s="73" t="str">
        <f>+MATERIALES!C288</f>
        <v>und</v>
      </c>
      <c r="I377" s="76">
        <v>1</v>
      </c>
      <c r="J377" s="86">
        <f>+MATERIALES!D288</f>
        <v>754225</v>
      </c>
      <c r="K377" s="87">
        <v>0</v>
      </c>
      <c r="L377" s="88">
        <f>I377*J377*(1+K377)</f>
        <v>754225</v>
      </c>
    </row>
    <row r="378" spans="3:15" x14ac:dyDescent="0.25">
      <c r="C378" s="72"/>
      <c r="D378" s="460"/>
      <c r="E378" s="499"/>
      <c r="F378" s="499"/>
      <c r="G378" s="461"/>
      <c r="H378" s="73"/>
      <c r="I378" s="76"/>
      <c r="J378" s="86"/>
      <c r="K378" s="87"/>
      <c r="L378" s="88"/>
    </row>
    <row r="379" spans="3:15" x14ac:dyDescent="0.25">
      <c r="C379" s="90"/>
      <c r="D379" s="500"/>
      <c r="E379" s="500"/>
      <c r="F379" s="500"/>
      <c r="G379" s="500"/>
      <c r="H379" s="97"/>
      <c r="I379" s="91"/>
      <c r="J379" s="92"/>
      <c r="K379" s="93"/>
      <c r="L379" s="82"/>
    </row>
    <row r="380" spans="3:15" ht="13.5" thickBot="1" x14ac:dyDescent="0.3">
      <c r="C380" s="94"/>
      <c r="D380" s="485" t="s">
        <v>508</v>
      </c>
      <c r="E380" s="485"/>
      <c r="F380" s="485"/>
      <c r="G380" s="485"/>
      <c r="H380" s="485"/>
      <c r="I380" s="485"/>
      <c r="J380" s="485"/>
      <c r="K380" s="485"/>
      <c r="L380" s="84">
        <f>SUM(L377:L379)</f>
        <v>754225</v>
      </c>
    </row>
    <row r="381" spans="3:15" ht="13.5" thickBot="1" x14ac:dyDescent="0.3">
      <c r="C381" s="486"/>
      <c r="D381" s="487"/>
      <c r="E381" s="487"/>
      <c r="F381" s="487"/>
      <c r="G381" s="487"/>
      <c r="H381" s="487"/>
      <c r="I381" s="487"/>
      <c r="J381" s="487"/>
      <c r="K381" s="487"/>
      <c r="L381" s="488"/>
    </row>
    <row r="382" spans="3:15" x14ac:dyDescent="0.25">
      <c r="C382" s="466" t="s">
        <v>509</v>
      </c>
      <c r="D382" s="467"/>
      <c r="E382" s="467"/>
      <c r="F382" s="467"/>
      <c r="G382" s="467"/>
      <c r="H382" s="467"/>
      <c r="I382" s="467"/>
      <c r="J382" s="467"/>
      <c r="K382" s="467"/>
      <c r="L382" s="468"/>
    </row>
    <row r="383" spans="3:15" x14ac:dyDescent="0.25">
      <c r="C383" s="72" t="s">
        <v>66</v>
      </c>
      <c r="D383" s="492" t="s">
        <v>498</v>
      </c>
      <c r="E383" s="492"/>
      <c r="F383" s="492"/>
      <c r="G383" s="492"/>
      <c r="H383" s="73" t="s">
        <v>506</v>
      </c>
      <c r="I383" s="73" t="s">
        <v>499</v>
      </c>
      <c r="J383" s="74" t="s">
        <v>510</v>
      </c>
      <c r="K383" s="85" t="s">
        <v>511</v>
      </c>
      <c r="L383" s="70" t="s">
        <v>502</v>
      </c>
      <c r="O383" s="148">
        <f>819400-(L373+L394)</f>
        <v>754225.04949587502</v>
      </c>
    </row>
    <row r="384" spans="3:15" x14ac:dyDescent="0.25">
      <c r="C384" s="90"/>
      <c r="D384" s="494"/>
      <c r="E384" s="494"/>
      <c r="F384" s="494"/>
      <c r="G384" s="494"/>
      <c r="H384" s="76"/>
      <c r="I384" s="97"/>
      <c r="J384" s="97"/>
      <c r="K384" s="95"/>
      <c r="L384" s="96"/>
    </row>
    <row r="385" spans="3:12" x14ac:dyDescent="0.25">
      <c r="C385" s="90"/>
      <c r="D385" s="495"/>
      <c r="E385" s="495"/>
      <c r="F385" s="495"/>
      <c r="G385" s="495"/>
      <c r="H385" s="76"/>
      <c r="I385" s="97"/>
      <c r="J385" s="97"/>
      <c r="K385" s="95"/>
      <c r="L385" s="96"/>
    </row>
    <row r="386" spans="3:12" x14ac:dyDescent="0.25">
      <c r="C386" s="90"/>
      <c r="D386" s="495"/>
      <c r="E386" s="495"/>
      <c r="F386" s="495"/>
      <c r="G386" s="495"/>
      <c r="H386" s="76"/>
      <c r="I386" s="97"/>
      <c r="J386" s="97"/>
      <c r="K386" s="95"/>
      <c r="L386" s="96"/>
    </row>
    <row r="387" spans="3:12" ht="13.5" thickBot="1" x14ac:dyDescent="0.3">
      <c r="C387" s="83"/>
      <c r="D387" s="485" t="s">
        <v>512</v>
      </c>
      <c r="E387" s="485"/>
      <c r="F387" s="485"/>
      <c r="G387" s="485"/>
      <c r="H387" s="485"/>
      <c r="I387" s="485"/>
      <c r="J387" s="485"/>
      <c r="K387" s="485"/>
      <c r="L387" s="98">
        <f>L384</f>
        <v>0</v>
      </c>
    </row>
    <row r="388" spans="3:12" ht="13.5" thickBot="1" x14ac:dyDescent="0.3">
      <c r="C388" s="477"/>
      <c r="D388" s="478"/>
      <c r="E388" s="478"/>
      <c r="F388" s="478"/>
      <c r="G388" s="478"/>
      <c r="H388" s="478"/>
      <c r="I388" s="478"/>
      <c r="J388" s="478"/>
      <c r="K388" s="478"/>
      <c r="L388" s="479"/>
    </row>
    <row r="389" spans="3:12" x14ac:dyDescent="0.25">
      <c r="C389" s="466" t="s">
        <v>513</v>
      </c>
      <c r="D389" s="467"/>
      <c r="E389" s="467"/>
      <c r="F389" s="467"/>
      <c r="G389" s="467"/>
      <c r="H389" s="467"/>
      <c r="I389" s="467"/>
      <c r="J389" s="467"/>
      <c r="K389" s="467"/>
      <c r="L389" s="468"/>
    </row>
    <row r="390" spans="3:12" x14ac:dyDescent="0.25">
      <c r="C390" s="72" t="s">
        <v>66</v>
      </c>
      <c r="D390" s="492" t="s">
        <v>498</v>
      </c>
      <c r="E390" s="492"/>
      <c r="F390" s="85" t="s">
        <v>499</v>
      </c>
      <c r="G390" s="85" t="s">
        <v>506</v>
      </c>
      <c r="H390" s="73" t="s">
        <v>514</v>
      </c>
      <c r="I390" s="99" t="s">
        <v>515</v>
      </c>
      <c r="J390" s="85" t="s">
        <v>516</v>
      </c>
      <c r="K390" s="99" t="s">
        <v>517</v>
      </c>
      <c r="L390" s="100" t="s">
        <v>502</v>
      </c>
    </row>
    <row r="391" spans="3:12" x14ac:dyDescent="0.25">
      <c r="C391" s="79" t="s">
        <v>519</v>
      </c>
      <c r="D391" s="460" t="str">
        <f>'MANO DE OBRA'!$B$3</f>
        <v>Ayudante</v>
      </c>
      <c r="E391" s="461"/>
      <c r="F391" s="97" t="str">
        <f>'MANO DE OBRA'!$C$2</f>
        <v>DIA</v>
      </c>
      <c r="G391" s="76">
        <v>3</v>
      </c>
      <c r="H391" s="101">
        <f>'MANO DE OBRA'!$D$3</f>
        <v>28981.77</v>
      </c>
      <c r="I391" s="102">
        <v>0.75649999999999995</v>
      </c>
      <c r="J391" s="103">
        <f>(H391+(H391*I391))</f>
        <v>50906.479005000001</v>
      </c>
      <c r="K391" s="76">
        <v>4</v>
      </c>
      <c r="L391" s="96">
        <f>G391*(J391/K391)</f>
        <v>38179.859253750001</v>
      </c>
    </row>
    <row r="392" spans="3:12" x14ac:dyDescent="0.25">
      <c r="C392" s="79" t="s">
        <v>526</v>
      </c>
      <c r="D392" s="460" t="str">
        <f>'MANO DE OBRA'!$B$2</f>
        <v>Oficial</v>
      </c>
      <c r="E392" s="461"/>
      <c r="F392" s="97" t="str">
        <f>'MANO DE OBRA'!$C$3</f>
        <v>DIA</v>
      </c>
      <c r="G392" s="76">
        <v>1</v>
      </c>
      <c r="H392" s="101">
        <f>'MANO DE OBRA'!$D$2</f>
        <v>47982</v>
      </c>
      <c r="I392" s="102">
        <v>0.75649999999999995</v>
      </c>
      <c r="J392" s="103">
        <f>(H392+(H392*I392))</f>
        <v>84280.383000000002</v>
      </c>
      <c r="K392" s="76">
        <v>4</v>
      </c>
      <c r="L392" s="96">
        <f>G392*(J392/K392)</f>
        <v>21070.09575</v>
      </c>
    </row>
    <row r="393" spans="3:12" x14ac:dyDescent="0.25">
      <c r="C393" s="90"/>
      <c r="D393" s="493"/>
      <c r="E393" s="493"/>
      <c r="F393" s="97"/>
      <c r="G393" s="76"/>
      <c r="H393" s="101"/>
      <c r="I393" s="102"/>
      <c r="J393" s="103"/>
      <c r="K393" s="76"/>
      <c r="L393" s="96"/>
    </row>
    <row r="394" spans="3:12" ht="13.5" thickBot="1" x14ac:dyDescent="0.3">
      <c r="C394" s="83"/>
      <c r="D394" s="485" t="s">
        <v>520</v>
      </c>
      <c r="E394" s="485"/>
      <c r="F394" s="485"/>
      <c r="G394" s="485"/>
      <c r="H394" s="485"/>
      <c r="I394" s="485"/>
      <c r="J394" s="485"/>
      <c r="K394" s="485"/>
      <c r="L394" s="98">
        <f>L392+L391</f>
        <v>59249.955003750001</v>
      </c>
    </row>
    <row r="395" spans="3:12" ht="13.5" thickBot="1" x14ac:dyDescent="0.3">
      <c r="C395" s="486"/>
      <c r="D395" s="487"/>
      <c r="E395" s="487"/>
      <c r="F395" s="487"/>
      <c r="G395" s="487"/>
      <c r="H395" s="487"/>
      <c r="I395" s="487"/>
      <c r="J395" s="487"/>
      <c r="K395" s="487"/>
      <c r="L395" s="488"/>
    </row>
    <row r="396" spans="3:12" ht="13.5" thickBot="1" x14ac:dyDescent="0.3">
      <c r="C396" s="489" t="s">
        <v>521</v>
      </c>
      <c r="D396" s="490"/>
      <c r="E396" s="490"/>
      <c r="F396" s="490"/>
      <c r="G396" s="490"/>
      <c r="H396" s="490"/>
      <c r="I396" s="490"/>
      <c r="J396" s="491"/>
      <c r="K396" s="145">
        <f>ROUND(L394+L387+L380+L373,0)</f>
        <v>819400</v>
      </c>
      <c r="L396" s="146"/>
    </row>
    <row r="398" spans="3:12" ht="13.5" thickBot="1" x14ac:dyDescent="0.3"/>
    <row r="399" spans="3:12" x14ac:dyDescent="0.25">
      <c r="C399" s="466" t="s">
        <v>495</v>
      </c>
      <c r="D399" s="467"/>
      <c r="E399" s="467"/>
      <c r="F399" s="467"/>
      <c r="G399" s="467"/>
      <c r="H399" s="467"/>
      <c r="I399" s="467"/>
      <c r="J399" s="467"/>
      <c r="K399" s="467"/>
      <c r="L399" s="468"/>
    </row>
    <row r="400" spans="3:12" ht="12.75" customHeight="1" x14ac:dyDescent="0.25">
      <c r="C400" s="469" t="str">
        <f>+PPTO!$A$2</f>
        <v>REPOSICION E INSTALACION VALVULAS DE SECTORIZACION EN DIFERENTES SECTORES DEL MUNICIPIO DE PIEDECUESTA - SANTANDER.</v>
      </c>
      <c r="D400" s="470"/>
      <c r="E400" s="470"/>
      <c r="F400" s="470"/>
      <c r="G400" s="470"/>
      <c r="H400" s="470"/>
      <c r="I400" s="470"/>
      <c r="J400" s="470"/>
      <c r="K400" s="470"/>
      <c r="L400" s="471"/>
    </row>
    <row r="401" spans="3:12" x14ac:dyDescent="0.25">
      <c r="C401" s="472" t="s">
        <v>496</v>
      </c>
      <c r="D401" s="141">
        <f>+PPTO!$A$20</f>
        <v>4</v>
      </c>
      <c r="E401" s="474" t="str">
        <f>+PPTO!$B$20</f>
        <v>SUMINISTRO E INSTALACION DE TUBERIAS Y ACCESORIOS.</v>
      </c>
      <c r="F401" s="475"/>
      <c r="G401" s="475"/>
      <c r="H401" s="475"/>
      <c r="I401" s="475"/>
      <c r="J401" s="475"/>
      <c r="K401" s="475"/>
      <c r="L401" s="70" t="s">
        <v>52</v>
      </c>
    </row>
    <row r="402" spans="3:12" ht="13.5" thickBot="1" x14ac:dyDescent="0.3">
      <c r="C402" s="473"/>
      <c r="D402" s="120">
        <f>+PPTO!A22</f>
        <v>4.0199999999999996</v>
      </c>
      <c r="E402" s="476" t="str">
        <f>+PPTO!B22</f>
        <v>Suministro e instalación de válvula  D=2" en HD JH</v>
      </c>
      <c r="F402" s="476"/>
      <c r="G402" s="476"/>
      <c r="H402" s="476"/>
      <c r="I402" s="476"/>
      <c r="J402" s="476"/>
      <c r="K402" s="476"/>
      <c r="L402" s="71" t="str">
        <f>+PPTO!C22</f>
        <v>UND</v>
      </c>
    </row>
    <row r="403" spans="3:12" ht="13.5" thickBot="1" x14ac:dyDescent="0.3">
      <c r="C403" s="477"/>
      <c r="D403" s="478"/>
      <c r="E403" s="478"/>
      <c r="F403" s="478"/>
      <c r="G403" s="478"/>
      <c r="H403" s="478"/>
      <c r="I403" s="478"/>
      <c r="J403" s="478"/>
      <c r="K403" s="478"/>
      <c r="L403" s="479"/>
    </row>
    <row r="404" spans="3:12" x14ac:dyDescent="0.25">
      <c r="C404" s="466" t="s">
        <v>497</v>
      </c>
      <c r="D404" s="467"/>
      <c r="E404" s="467"/>
      <c r="F404" s="467"/>
      <c r="G404" s="467"/>
      <c r="H404" s="467"/>
      <c r="I404" s="467"/>
      <c r="J404" s="467"/>
      <c r="K404" s="467"/>
      <c r="L404" s="468"/>
    </row>
    <row r="405" spans="3:12" x14ac:dyDescent="0.25">
      <c r="C405" s="72" t="s">
        <v>66</v>
      </c>
      <c r="D405" s="492" t="s">
        <v>498</v>
      </c>
      <c r="E405" s="492"/>
      <c r="F405" s="492"/>
      <c r="G405" s="492"/>
      <c r="H405" s="492"/>
      <c r="I405" s="73" t="s">
        <v>499</v>
      </c>
      <c r="J405" s="74" t="s">
        <v>500</v>
      </c>
      <c r="K405" s="73" t="s">
        <v>501</v>
      </c>
      <c r="L405" s="70" t="s">
        <v>502</v>
      </c>
    </row>
    <row r="406" spans="3:12" x14ac:dyDescent="0.25">
      <c r="C406" s="75"/>
      <c r="D406" s="460"/>
      <c r="E406" s="499"/>
      <c r="F406" s="499"/>
      <c r="G406" s="499"/>
      <c r="H406" s="461"/>
      <c r="I406" s="76"/>
      <c r="J406" s="76"/>
      <c r="K406" s="77"/>
      <c r="L406" s="78"/>
    </row>
    <row r="407" spans="3:12" x14ac:dyDescent="0.25">
      <c r="C407" s="75"/>
      <c r="D407" s="493"/>
      <c r="E407" s="493"/>
      <c r="F407" s="493"/>
      <c r="G407" s="493"/>
      <c r="H407" s="493"/>
      <c r="I407" s="76"/>
      <c r="J407" s="80"/>
      <c r="K407" s="81"/>
      <c r="L407" s="78"/>
    </row>
    <row r="408" spans="3:12" x14ac:dyDescent="0.25">
      <c r="C408" s="79"/>
      <c r="D408" s="493" t="s">
        <v>503</v>
      </c>
      <c r="E408" s="493"/>
      <c r="F408" s="493"/>
      <c r="G408" s="493"/>
      <c r="H408" s="493"/>
      <c r="I408" s="76" t="s">
        <v>61</v>
      </c>
      <c r="J408" s="80">
        <v>1</v>
      </c>
      <c r="K408" s="81">
        <f>L430*0.1</f>
        <v>3949.9970002499999</v>
      </c>
      <c r="L408" s="82">
        <f>K408/J408</f>
        <v>3949.9970002499999</v>
      </c>
    </row>
    <row r="409" spans="3:12" ht="13.5" thickBot="1" x14ac:dyDescent="0.3">
      <c r="C409" s="83"/>
      <c r="D409" s="485" t="s">
        <v>504</v>
      </c>
      <c r="E409" s="485"/>
      <c r="F409" s="485"/>
      <c r="G409" s="485"/>
      <c r="H409" s="485"/>
      <c r="I409" s="485"/>
      <c r="J409" s="485"/>
      <c r="K409" s="485"/>
      <c r="L409" s="84">
        <f>SUM(L406:L408)</f>
        <v>3949.9970002499999</v>
      </c>
    </row>
    <row r="410" spans="3:12" ht="13.5" thickBot="1" x14ac:dyDescent="0.3">
      <c r="C410" s="477"/>
      <c r="D410" s="478"/>
      <c r="E410" s="478"/>
      <c r="F410" s="478"/>
      <c r="G410" s="478"/>
      <c r="H410" s="478"/>
      <c r="I410" s="478"/>
      <c r="J410" s="478"/>
      <c r="K410" s="478"/>
      <c r="L410" s="479"/>
    </row>
    <row r="411" spans="3:12" x14ac:dyDescent="0.25">
      <c r="C411" s="466" t="s">
        <v>505</v>
      </c>
      <c r="D411" s="467"/>
      <c r="E411" s="467"/>
      <c r="F411" s="467"/>
      <c r="G411" s="467"/>
      <c r="H411" s="467"/>
      <c r="I411" s="467"/>
      <c r="J411" s="467"/>
      <c r="K411" s="467"/>
      <c r="L411" s="468"/>
    </row>
    <row r="412" spans="3:12" ht="25.5" x14ac:dyDescent="0.25">
      <c r="C412" s="72" t="s">
        <v>66</v>
      </c>
      <c r="D412" s="492" t="s">
        <v>498</v>
      </c>
      <c r="E412" s="492"/>
      <c r="F412" s="492"/>
      <c r="G412" s="492"/>
      <c r="H412" s="73" t="s">
        <v>499</v>
      </c>
      <c r="I412" s="74" t="s">
        <v>506</v>
      </c>
      <c r="J412" s="73" t="s">
        <v>501</v>
      </c>
      <c r="K412" s="85" t="s">
        <v>507</v>
      </c>
      <c r="L412" s="70" t="s">
        <v>502</v>
      </c>
    </row>
    <row r="413" spans="3:12" x14ac:dyDescent="0.25">
      <c r="C413" s="72" t="str">
        <f>+MATERIALES!A289</f>
        <v>MAT-259</v>
      </c>
      <c r="D413" s="498" t="str">
        <f>+MATERIALES!B289</f>
        <v>válvula  D=2" en HD JH</v>
      </c>
      <c r="E413" s="496"/>
      <c r="F413" s="496"/>
      <c r="G413" s="497"/>
      <c r="H413" s="73" t="str">
        <f>+MATERIALES!C289</f>
        <v>und</v>
      </c>
      <c r="I413" s="76">
        <v>1</v>
      </c>
      <c r="J413" s="86">
        <f>+MATERIALES!D289</f>
        <v>389450</v>
      </c>
      <c r="K413" s="87">
        <v>0</v>
      </c>
      <c r="L413" s="88">
        <f>I413*J413*(1+K413)</f>
        <v>389450</v>
      </c>
    </row>
    <row r="414" spans="3:12" x14ac:dyDescent="0.25">
      <c r="C414" s="72"/>
      <c r="D414" s="460"/>
      <c r="E414" s="499"/>
      <c r="F414" s="499"/>
      <c r="G414" s="461"/>
      <c r="H414" s="73"/>
      <c r="I414" s="76"/>
      <c r="J414" s="86"/>
      <c r="K414" s="87"/>
      <c r="L414" s="88"/>
    </row>
    <row r="415" spans="3:12" x14ac:dyDescent="0.25">
      <c r="C415" s="90"/>
      <c r="D415" s="500"/>
      <c r="E415" s="500"/>
      <c r="F415" s="500"/>
      <c r="G415" s="500"/>
      <c r="H415" s="97"/>
      <c r="I415" s="91"/>
      <c r="J415" s="92"/>
      <c r="K415" s="93"/>
      <c r="L415" s="82"/>
    </row>
    <row r="416" spans="3:12" ht="13.5" thickBot="1" x14ac:dyDescent="0.3">
      <c r="C416" s="94"/>
      <c r="D416" s="485" t="s">
        <v>508</v>
      </c>
      <c r="E416" s="485"/>
      <c r="F416" s="485"/>
      <c r="G416" s="485"/>
      <c r="H416" s="485"/>
      <c r="I416" s="485"/>
      <c r="J416" s="485"/>
      <c r="K416" s="485"/>
      <c r="L416" s="84">
        <f>SUM(L413:L415)</f>
        <v>389450</v>
      </c>
    </row>
    <row r="417" spans="3:15" ht="13.5" thickBot="1" x14ac:dyDescent="0.3">
      <c r="C417" s="486"/>
      <c r="D417" s="487"/>
      <c r="E417" s="487"/>
      <c r="F417" s="487"/>
      <c r="G417" s="487"/>
      <c r="H417" s="487"/>
      <c r="I417" s="487"/>
      <c r="J417" s="487"/>
      <c r="K417" s="487"/>
      <c r="L417" s="488"/>
    </row>
    <row r="418" spans="3:15" x14ac:dyDescent="0.25">
      <c r="C418" s="466" t="s">
        <v>509</v>
      </c>
      <c r="D418" s="467"/>
      <c r="E418" s="467"/>
      <c r="F418" s="467"/>
      <c r="G418" s="467"/>
      <c r="H418" s="467"/>
      <c r="I418" s="467"/>
      <c r="J418" s="467"/>
      <c r="K418" s="467"/>
      <c r="L418" s="468"/>
    </row>
    <row r="419" spans="3:15" x14ac:dyDescent="0.25">
      <c r="C419" s="72" t="s">
        <v>66</v>
      </c>
      <c r="D419" s="492" t="s">
        <v>498</v>
      </c>
      <c r="E419" s="492"/>
      <c r="F419" s="492"/>
      <c r="G419" s="492"/>
      <c r="H419" s="73" t="s">
        <v>506</v>
      </c>
      <c r="I419" s="73" t="s">
        <v>499</v>
      </c>
      <c r="J419" s="74" t="s">
        <v>510</v>
      </c>
      <c r="K419" s="85" t="s">
        <v>511</v>
      </c>
      <c r="L419" s="70" t="s">
        <v>502</v>
      </c>
    </row>
    <row r="420" spans="3:15" x14ac:dyDescent="0.25">
      <c r="C420" s="90"/>
      <c r="D420" s="494"/>
      <c r="E420" s="494"/>
      <c r="F420" s="494"/>
      <c r="G420" s="494"/>
      <c r="H420" s="76"/>
      <c r="I420" s="97"/>
      <c r="J420" s="97"/>
      <c r="K420" s="95"/>
      <c r="L420" s="96"/>
      <c r="O420" s="119">
        <f>432900-(L430+L409)</f>
        <v>389450.03299724997</v>
      </c>
    </row>
    <row r="421" spans="3:15" x14ac:dyDescent="0.25">
      <c r="C421" s="90"/>
      <c r="D421" s="495"/>
      <c r="E421" s="495"/>
      <c r="F421" s="495"/>
      <c r="G421" s="495"/>
      <c r="H421" s="76"/>
      <c r="I421" s="97"/>
      <c r="J421" s="97"/>
      <c r="K421" s="95"/>
      <c r="L421" s="96"/>
    </row>
    <row r="422" spans="3:15" x14ac:dyDescent="0.25">
      <c r="C422" s="90"/>
      <c r="D422" s="495"/>
      <c r="E422" s="495"/>
      <c r="F422" s="495"/>
      <c r="G422" s="495"/>
      <c r="H422" s="76"/>
      <c r="I422" s="97"/>
      <c r="J422" s="97"/>
      <c r="K422" s="95"/>
      <c r="L422" s="96"/>
    </row>
    <row r="423" spans="3:15" ht="13.5" thickBot="1" x14ac:dyDescent="0.3">
      <c r="C423" s="83"/>
      <c r="D423" s="485" t="s">
        <v>512</v>
      </c>
      <c r="E423" s="485"/>
      <c r="F423" s="485"/>
      <c r="G423" s="485"/>
      <c r="H423" s="485"/>
      <c r="I423" s="485"/>
      <c r="J423" s="485"/>
      <c r="K423" s="485"/>
      <c r="L423" s="98">
        <f>L420</f>
        <v>0</v>
      </c>
    </row>
    <row r="424" spans="3:15" ht="13.5" thickBot="1" x14ac:dyDescent="0.3">
      <c r="C424" s="477"/>
      <c r="D424" s="478"/>
      <c r="E424" s="478"/>
      <c r="F424" s="478"/>
      <c r="G424" s="478"/>
      <c r="H424" s="478"/>
      <c r="I424" s="478"/>
      <c r="J424" s="478"/>
      <c r="K424" s="478"/>
      <c r="L424" s="479"/>
    </row>
    <row r="425" spans="3:15" x14ac:dyDescent="0.25">
      <c r="C425" s="466" t="s">
        <v>513</v>
      </c>
      <c r="D425" s="467"/>
      <c r="E425" s="467"/>
      <c r="F425" s="467"/>
      <c r="G425" s="467"/>
      <c r="H425" s="467"/>
      <c r="I425" s="467"/>
      <c r="J425" s="467"/>
      <c r="K425" s="467"/>
      <c r="L425" s="468"/>
    </row>
    <row r="426" spans="3:15" x14ac:dyDescent="0.25">
      <c r="C426" s="72" t="s">
        <v>66</v>
      </c>
      <c r="D426" s="492" t="s">
        <v>498</v>
      </c>
      <c r="E426" s="492"/>
      <c r="F426" s="85" t="s">
        <v>499</v>
      </c>
      <c r="G426" s="85" t="s">
        <v>506</v>
      </c>
      <c r="H426" s="73" t="s">
        <v>514</v>
      </c>
      <c r="I426" s="99" t="s">
        <v>515</v>
      </c>
      <c r="J426" s="85" t="s">
        <v>516</v>
      </c>
      <c r="K426" s="99" t="s">
        <v>517</v>
      </c>
      <c r="L426" s="100" t="s">
        <v>502</v>
      </c>
    </row>
    <row r="427" spans="3:15" x14ac:dyDescent="0.25">
      <c r="C427" s="79" t="s">
        <v>519</v>
      </c>
      <c r="D427" s="460" t="str">
        <f>'MANO DE OBRA'!$B$3</f>
        <v>Ayudante</v>
      </c>
      <c r="E427" s="461"/>
      <c r="F427" s="97" t="str">
        <f>'MANO DE OBRA'!$C$2</f>
        <v>DIA</v>
      </c>
      <c r="G427" s="76">
        <v>3</v>
      </c>
      <c r="H427" s="101">
        <f>'MANO DE OBRA'!$D$3</f>
        <v>28981.77</v>
      </c>
      <c r="I427" s="102">
        <v>0.75649999999999995</v>
      </c>
      <c r="J427" s="103">
        <f>(H427+(H427*I427))</f>
        <v>50906.479005000001</v>
      </c>
      <c r="K427" s="76">
        <v>6</v>
      </c>
      <c r="L427" s="96">
        <f>G427*(J427/K427)</f>
        <v>25453.239502500001</v>
      </c>
    </row>
    <row r="428" spans="3:15" x14ac:dyDescent="0.25">
      <c r="C428" s="79" t="s">
        <v>526</v>
      </c>
      <c r="D428" s="460" t="str">
        <f>'MANO DE OBRA'!$B$2</f>
        <v>Oficial</v>
      </c>
      <c r="E428" s="461"/>
      <c r="F428" s="97" t="str">
        <f>'MANO DE OBRA'!$C$3</f>
        <v>DIA</v>
      </c>
      <c r="G428" s="76">
        <v>1</v>
      </c>
      <c r="H428" s="101">
        <f>'MANO DE OBRA'!$D$2</f>
        <v>47982</v>
      </c>
      <c r="I428" s="102">
        <v>0.75649999999999995</v>
      </c>
      <c r="J428" s="103">
        <f>(H428+(H428*I428))</f>
        <v>84280.383000000002</v>
      </c>
      <c r="K428" s="76">
        <v>6</v>
      </c>
      <c r="L428" s="96">
        <f>G428*(J428/K428)</f>
        <v>14046.7305</v>
      </c>
    </row>
    <row r="429" spans="3:15" x14ac:dyDescent="0.25">
      <c r="C429" s="90"/>
      <c r="D429" s="493"/>
      <c r="E429" s="493"/>
      <c r="F429" s="97"/>
      <c r="G429" s="76"/>
      <c r="H429" s="101"/>
      <c r="I429" s="102"/>
      <c r="J429" s="103"/>
      <c r="K429" s="76"/>
      <c r="L429" s="96"/>
    </row>
    <row r="430" spans="3:15" ht="13.5" thickBot="1" x14ac:dyDescent="0.3">
      <c r="C430" s="83"/>
      <c r="D430" s="485" t="s">
        <v>520</v>
      </c>
      <c r="E430" s="485"/>
      <c r="F430" s="485"/>
      <c r="G430" s="485"/>
      <c r="H430" s="485"/>
      <c r="I430" s="485"/>
      <c r="J430" s="485"/>
      <c r="K430" s="485"/>
      <c r="L430" s="98">
        <f>L428+L427</f>
        <v>39499.970002499998</v>
      </c>
    </row>
    <row r="431" spans="3:15" ht="13.5" thickBot="1" x14ac:dyDescent="0.3">
      <c r="C431" s="486"/>
      <c r="D431" s="487"/>
      <c r="E431" s="487"/>
      <c r="F431" s="487"/>
      <c r="G431" s="487"/>
      <c r="H431" s="487"/>
      <c r="I431" s="487"/>
      <c r="J431" s="487"/>
      <c r="K431" s="487"/>
      <c r="L431" s="488"/>
    </row>
    <row r="432" spans="3:15" ht="13.5" thickBot="1" x14ac:dyDescent="0.3">
      <c r="C432" s="489" t="s">
        <v>521</v>
      </c>
      <c r="D432" s="490"/>
      <c r="E432" s="490"/>
      <c r="F432" s="490"/>
      <c r="G432" s="490"/>
      <c r="H432" s="490"/>
      <c r="I432" s="490"/>
      <c r="J432" s="491"/>
      <c r="K432" s="145">
        <f>ROUND(L430+L423+L416+L409,0)</f>
        <v>432900</v>
      </c>
      <c r="L432" s="146"/>
    </row>
    <row r="434" spans="3:12" ht="13.5" thickBot="1" x14ac:dyDescent="0.3"/>
    <row r="435" spans="3:12" x14ac:dyDescent="0.25">
      <c r="C435" s="466" t="s">
        <v>495</v>
      </c>
      <c r="D435" s="467"/>
      <c r="E435" s="467"/>
      <c r="F435" s="467"/>
      <c r="G435" s="467"/>
      <c r="H435" s="467"/>
      <c r="I435" s="467"/>
      <c r="J435" s="467"/>
      <c r="K435" s="467"/>
      <c r="L435" s="468"/>
    </row>
    <row r="436" spans="3:12" ht="12.75" customHeight="1" x14ac:dyDescent="0.25">
      <c r="C436" s="469" t="str">
        <f>+PPTO!$A$2</f>
        <v>REPOSICION E INSTALACION VALVULAS DE SECTORIZACION EN DIFERENTES SECTORES DEL MUNICIPIO DE PIEDECUESTA - SANTANDER.</v>
      </c>
      <c r="D436" s="470"/>
      <c r="E436" s="470"/>
      <c r="F436" s="470"/>
      <c r="G436" s="470"/>
      <c r="H436" s="470"/>
      <c r="I436" s="470"/>
      <c r="J436" s="470"/>
      <c r="K436" s="470"/>
      <c r="L436" s="471"/>
    </row>
    <row r="437" spans="3:12" x14ac:dyDescent="0.25">
      <c r="C437" s="472" t="s">
        <v>496</v>
      </c>
      <c r="D437" s="141">
        <f>+PPTO!$A$20</f>
        <v>4</v>
      </c>
      <c r="E437" s="474" t="str">
        <f>+PPTO!$B$20</f>
        <v>SUMINISTRO E INSTALACION DE TUBERIAS Y ACCESORIOS.</v>
      </c>
      <c r="F437" s="475"/>
      <c r="G437" s="475"/>
      <c r="H437" s="475"/>
      <c r="I437" s="475"/>
      <c r="J437" s="475"/>
      <c r="K437" s="475"/>
      <c r="L437" s="70" t="s">
        <v>52</v>
      </c>
    </row>
    <row r="438" spans="3:12" ht="13.5" thickBot="1" x14ac:dyDescent="0.3">
      <c r="C438" s="473"/>
      <c r="D438" s="120">
        <f>+PPTO!A23</f>
        <v>4.03</v>
      </c>
      <c r="E438" s="476" t="str">
        <f>+PPTO!B23</f>
        <v>Suministro e instalación de válvula  D=3" en HD JH</v>
      </c>
      <c r="F438" s="476"/>
      <c r="G438" s="476"/>
      <c r="H438" s="476"/>
      <c r="I438" s="476"/>
      <c r="J438" s="476"/>
      <c r="K438" s="476"/>
      <c r="L438" s="71" t="str">
        <f>+PPTO!C23</f>
        <v>UND</v>
      </c>
    </row>
    <row r="439" spans="3:12" ht="13.5" thickBot="1" x14ac:dyDescent="0.3">
      <c r="C439" s="477"/>
      <c r="D439" s="478"/>
      <c r="E439" s="478"/>
      <c r="F439" s="478"/>
      <c r="G439" s="478"/>
      <c r="H439" s="478"/>
      <c r="I439" s="478"/>
      <c r="J439" s="478"/>
      <c r="K439" s="478"/>
      <c r="L439" s="479"/>
    </row>
    <row r="440" spans="3:12" x14ac:dyDescent="0.25">
      <c r="C440" s="466" t="s">
        <v>497</v>
      </c>
      <c r="D440" s="467"/>
      <c r="E440" s="467"/>
      <c r="F440" s="467"/>
      <c r="G440" s="467"/>
      <c r="H440" s="467"/>
      <c r="I440" s="467"/>
      <c r="J440" s="467"/>
      <c r="K440" s="467"/>
      <c r="L440" s="468"/>
    </row>
    <row r="441" spans="3:12" x14ac:dyDescent="0.25">
      <c r="C441" s="72" t="s">
        <v>66</v>
      </c>
      <c r="D441" s="492" t="s">
        <v>498</v>
      </c>
      <c r="E441" s="492"/>
      <c r="F441" s="492"/>
      <c r="G441" s="492"/>
      <c r="H441" s="492"/>
      <c r="I441" s="73" t="s">
        <v>499</v>
      </c>
      <c r="J441" s="74" t="s">
        <v>500</v>
      </c>
      <c r="K441" s="73" t="s">
        <v>501</v>
      </c>
      <c r="L441" s="70" t="s">
        <v>502</v>
      </c>
    </row>
    <row r="442" spans="3:12" x14ac:dyDescent="0.25">
      <c r="C442" s="75"/>
      <c r="D442" s="460"/>
      <c r="E442" s="499"/>
      <c r="F442" s="499"/>
      <c r="G442" s="499"/>
      <c r="H442" s="461"/>
      <c r="I442" s="76"/>
      <c r="J442" s="76"/>
      <c r="K442" s="77"/>
      <c r="L442" s="78"/>
    </row>
    <row r="443" spans="3:12" x14ac:dyDescent="0.25">
      <c r="C443" s="75"/>
      <c r="D443" s="493"/>
      <c r="E443" s="493"/>
      <c r="F443" s="493"/>
      <c r="G443" s="493"/>
      <c r="H443" s="493"/>
      <c r="I443" s="76"/>
      <c r="J443" s="80"/>
      <c r="K443" s="81"/>
      <c r="L443" s="78"/>
    </row>
    <row r="444" spans="3:12" x14ac:dyDescent="0.25">
      <c r="C444" s="79"/>
      <c r="D444" s="493" t="s">
        <v>503</v>
      </c>
      <c r="E444" s="493"/>
      <c r="F444" s="493"/>
      <c r="G444" s="493"/>
      <c r="H444" s="493"/>
      <c r="I444" s="76" t="s">
        <v>61</v>
      </c>
      <c r="J444" s="80">
        <v>1</v>
      </c>
      <c r="K444" s="81">
        <f>L466*0.1</f>
        <v>4739.9964003000005</v>
      </c>
      <c r="L444" s="82">
        <f>K444/J444</f>
        <v>4739.9964003000005</v>
      </c>
    </row>
    <row r="445" spans="3:12" ht="13.5" thickBot="1" x14ac:dyDescent="0.3">
      <c r="C445" s="83"/>
      <c r="D445" s="485" t="s">
        <v>504</v>
      </c>
      <c r="E445" s="485"/>
      <c r="F445" s="485"/>
      <c r="G445" s="485"/>
      <c r="H445" s="485"/>
      <c r="I445" s="485"/>
      <c r="J445" s="485"/>
      <c r="K445" s="485"/>
      <c r="L445" s="84">
        <f>SUM(L442:L444)</f>
        <v>4739.9964003000005</v>
      </c>
    </row>
    <row r="446" spans="3:12" ht="13.5" thickBot="1" x14ac:dyDescent="0.3">
      <c r="C446" s="477"/>
      <c r="D446" s="478"/>
      <c r="E446" s="478"/>
      <c r="F446" s="478"/>
      <c r="G446" s="478"/>
      <c r="H446" s="478"/>
      <c r="I446" s="478"/>
      <c r="J446" s="478"/>
      <c r="K446" s="478"/>
      <c r="L446" s="479"/>
    </row>
    <row r="447" spans="3:12" x14ac:dyDescent="0.25">
      <c r="C447" s="466" t="s">
        <v>505</v>
      </c>
      <c r="D447" s="467"/>
      <c r="E447" s="467"/>
      <c r="F447" s="467"/>
      <c r="G447" s="467"/>
      <c r="H447" s="467"/>
      <c r="I447" s="467"/>
      <c r="J447" s="467"/>
      <c r="K447" s="467"/>
      <c r="L447" s="468"/>
    </row>
    <row r="448" spans="3:12" ht="25.5" x14ac:dyDescent="0.25">
      <c r="C448" s="72" t="s">
        <v>66</v>
      </c>
      <c r="D448" s="492" t="s">
        <v>498</v>
      </c>
      <c r="E448" s="492"/>
      <c r="F448" s="492"/>
      <c r="G448" s="492"/>
      <c r="H448" s="73" t="s">
        <v>499</v>
      </c>
      <c r="I448" s="74" t="s">
        <v>506</v>
      </c>
      <c r="J448" s="73" t="s">
        <v>501</v>
      </c>
      <c r="K448" s="85" t="s">
        <v>507</v>
      </c>
      <c r="L448" s="70" t="s">
        <v>502</v>
      </c>
    </row>
    <row r="449" spans="3:15" x14ac:dyDescent="0.25">
      <c r="C449" s="72" t="str">
        <f>+MATERIALES!A290</f>
        <v>MAT-260</v>
      </c>
      <c r="D449" s="498" t="str">
        <f>+MATERIALES!B290</f>
        <v>válvula  D=3" en HD JH</v>
      </c>
      <c r="E449" s="496"/>
      <c r="F449" s="496"/>
      <c r="G449" s="497"/>
      <c r="H449" s="73" t="str">
        <f>+MATERIALES!C290</f>
        <v>und</v>
      </c>
      <c r="I449" s="76">
        <v>1</v>
      </c>
      <c r="J449" s="86">
        <f>+MATERIALES!D290</f>
        <v>566260</v>
      </c>
      <c r="K449" s="87">
        <v>0</v>
      </c>
      <c r="L449" s="88">
        <f>I449*J449*(1+K449)</f>
        <v>566260</v>
      </c>
    </row>
    <row r="450" spans="3:15" x14ac:dyDescent="0.25">
      <c r="C450" s="72"/>
      <c r="D450" s="460"/>
      <c r="E450" s="499"/>
      <c r="F450" s="499"/>
      <c r="G450" s="461"/>
      <c r="H450" s="73"/>
      <c r="I450" s="76"/>
      <c r="J450" s="86"/>
      <c r="K450" s="87"/>
      <c r="L450" s="88"/>
    </row>
    <row r="451" spans="3:15" x14ac:dyDescent="0.25">
      <c r="C451" s="90"/>
      <c r="D451" s="500"/>
      <c r="E451" s="500"/>
      <c r="F451" s="500"/>
      <c r="G451" s="500"/>
      <c r="H451" s="97"/>
      <c r="I451" s="91"/>
      <c r="J451" s="92"/>
      <c r="K451" s="93"/>
      <c r="L451" s="82"/>
    </row>
    <row r="452" spans="3:15" ht="13.5" thickBot="1" x14ac:dyDescent="0.3">
      <c r="C452" s="94"/>
      <c r="D452" s="485" t="s">
        <v>508</v>
      </c>
      <c r="E452" s="485"/>
      <c r="F452" s="485"/>
      <c r="G452" s="485"/>
      <c r="H452" s="485"/>
      <c r="I452" s="485"/>
      <c r="J452" s="485"/>
      <c r="K452" s="485"/>
      <c r="L452" s="84">
        <f>SUM(L449:L451)</f>
        <v>566260</v>
      </c>
    </row>
    <row r="453" spans="3:15" ht="13.5" thickBot="1" x14ac:dyDescent="0.3">
      <c r="C453" s="486"/>
      <c r="D453" s="487"/>
      <c r="E453" s="487"/>
      <c r="F453" s="487"/>
      <c r="G453" s="487"/>
      <c r="H453" s="487"/>
      <c r="I453" s="487"/>
      <c r="J453" s="487"/>
      <c r="K453" s="487"/>
      <c r="L453" s="488"/>
    </row>
    <row r="454" spans="3:15" x14ac:dyDescent="0.25">
      <c r="C454" s="466" t="s">
        <v>509</v>
      </c>
      <c r="D454" s="467"/>
      <c r="E454" s="467"/>
      <c r="F454" s="467"/>
      <c r="G454" s="467"/>
      <c r="H454" s="467"/>
      <c r="I454" s="467"/>
      <c r="J454" s="467"/>
      <c r="K454" s="467"/>
      <c r="L454" s="468"/>
    </row>
    <row r="455" spans="3:15" x14ac:dyDescent="0.25">
      <c r="C455" s="72" t="s">
        <v>66</v>
      </c>
      <c r="D455" s="492" t="s">
        <v>498</v>
      </c>
      <c r="E455" s="492"/>
      <c r="F455" s="492"/>
      <c r="G455" s="492"/>
      <c r="H455" s="73" t="s">
        <v>506</v>
      </c>
      <c r="I455" s="73" t="s">
        <v>499</v>
      </c>
      <c r="J455" s="74" t="s">
        <v>510</v>
      </c>
      <c r="K455" s="85" t="s">
        <v>511</v>
      </c>
      <c r="L455" s="70" t="s">
        <v>502</v>
      </c>
    </row>
    <row r="456" spans="3:15" x14ac:dyDescent="0.25">
      <c r="C456" s="90"/>
      <c r="D456" s="494"/>
      <c r="E456" s="494"/>
      <c r="F456" s="494"/>
      <c r="G456" s="494"/>
      <c r="H456" s="76"/>
      <c r="I456" s="97"/>
      <c r="J456" s="97"/>
      <c r="K456" s="95"/>
      <c r="L456" s="96"/>
      <c r="O456" s="119">
        <f>618400-(L466+L445)</f>
        <v>566260.03959669999</v>
      </c>
    </row>
    <row r="457" spans="3:15" x14ac:dyDescent="0.25">
      <c r="C457" s="90"/>
      <c r="D457" s="495"/>
      <c r="E457" s="495"/>
      <c r="F457" s="495"/>
      <c r="G457" s="495"/>
      <c r="H457" s="76"/>
      <c r="I457" s="97"/>
      <c r="J457" s="97"/>
      <c r="K457" s="95"/>
      <c r="L457" s="96"/>
    </row>
    <row r="458" spans="3:15" x14ac:dyDescent="0.25">
      <c r="C458" s="90"/>
      <c r="D458" s="495"/>
      <c r="E458" s="495"/>
      <c r="F458" s="495"/>
      <c r="G458" s="495"/>
      <c r="H458" s="76"/>
      <c r="I458" s="97"/>
      <c r="J458" s="97"/>
      <c r="K458" s="95"/>
      <c r="L458" s="96"/>
    </row>
    <row r="459" spans="3:15" ht="13.5" thickBot="1" x14ac:dyDescent="0.3">
      <c r="C459" s="83"/>
      <c r="D459" s="485" t="s">
        <v>512</v>
      </c>
      <c r="E459" s="485"/>
      <c r="F459" s="485"/>
      <c r="G459" s="485"/>
      <c r="H459" s="485"/>
      <c r="I459" s="485"/>
      <c r="J459" s="485"/>
      <c r="K459" s="485"/>
      <c r="L459" s="98">
        <f>L456</f>
        <v>0</v>
      </c>
    </row>
    <row r="460" spans="3:15" ht="13.5" thickBot="1" x14ac:dyDescent="0.3">
      <c r="C460" s="477"/>
      <c r="D460" s="478"/>
      <c r="E460" s="478"/>
      <c r="F460" s="478"/>
      <c r="G460" s="478"/>
      <c r="H460" s="478"/>
      <c r="I460" s="478"/>
      <c r="J460" s="478"/>
      <c r="K460" s="478"/>
      <c r="L460" s="479"/>
    </row>
    <row r="461" spans="3:15" x14ac:dyDescent="0.25">
      <c r="C461" s="466" t="s">
        <v>513</v>
      </c>
      <c r="D461" s="467"/>
      <c r="E461" s="467"/>
      <c r="F461" s="467"/>
      <c r="G461" s="467"/>
      <c r="H461" s="467"/>
      <c r="I461" s="467"/>
      <c r="J461" s="467"/>
      <c r="K461" s="467"/>
      <c r="L461" s="468"/>
    </row>
    <row r="462" spans="3:15" x14ac:dyDescent="0.25">
      <c r="C462" s="72" t="s">
        <v>66</v>
      </c>
      <c r="D462" s="492" t="s">
        <v>498</v>
      </c>
      <c r="E462" s="492"/>
      <c r="F462" s="85" t="s">
        <v>499</v>
      </c>
      <c r="G462" s="85" t="s">
        <v>506</v>
      </c>
      <c r="H462" s="73" t="s">
        <v>514</v>
      </c>
      <c r="I462" s="99" t="s">
        <v>515</v>
      </c>
      <c r="J462" s="85" t="s">
        <v>516</v>
      </c>
      <c r="K462" s="99" t="s">
        <v>517</v>
      </c>
      <c r="L462" s="100" t="s">
        <v>502</v>
      </c>
    </row>
    <row r="463" spans="3:15" x14ac:dyDescent="0.25">
      <c r="C463" s="79" t="s">
        <v>519</v>
      </c>
      <c r="D463" s="460" t="str">
        <f>'MANO DE OBRA'!$B$3</f>
        <v>Ayudante</v>
      </c>
      <c r="E463" s="461"/>
      <c r="F463" s="97" t="str">
        <f>'MANO DE OBRA'!$C$2</f>
        <v>DIA</v>
      </c>
      <c r="G463" s="76">
        <v>3</v>
      </c>
      <c r="H463" s="101">
        <f>'MANO DE OBRA'!$D$3</f>
        <v>28981.77</v>
      </c>
      <c r="I463" s="102">
        <v>0.75649999999999995</v>
      </c>
      <c r="J463" s="103">
        <f>(H463+(H463*I463))</f>
        <v>50906.479005000001</v>
      </c>
      <c r="K463" s="76">
        <v>5</v>
      </c>
      <c r="L463" s="96">
        <f>G463*(J463/K463)</f>
        <v>30543.887403000001</v>
      </c>
    </row>
    <row r="464" spans="3:15" x14ac:dyDescent="0.25">
      <c r="C464" s="79" t="s">
        <v>526</v>
      </c>
      <c r="D464" s="460" t="str">
        <f>'MANO DE OBRA'!$B$2</f>
        <v>Oficial</v>
      </c>
      <c r="E464" s="461"/>
      <c r="F464" s="97" t="str">
        <f>'MANO DE OBRA'!$C$3</f>
        <v>DIA</v>
      </c>
      <c r="G464" s="76">
        <v>1</v>
      </c>
      <c r="H464" s="101">
        <f>'MANO DE OBRA'!$D$2</f>
        <v>47982</v>
      </c>
      <c r="I464" s="102">
        <v>0.75649999999999995</v>
      </c>
      <c r="J464" s="103">
        <f>(H464+(H464*I464))</f>
        <v>84280.383000000002</v>
      </c>
      <c r="K464" s="76">
        <v>5</v>
      </c>
      <c r="L464" s="96">
        <f>G464*(J464/K464)</f>
        <v>16856.0766</v>
      </c>
    </row>
    <row r="465" spans="3:12" x14ac:dyDescent="0.25">
      <c r="C465" s="90"/>
      <c r="D465" s="493"/>
      <c r="E465" s="493"/>
      <c r="F465" s="97"/>
      <c r="G465" s="76"/>
      <c r="H465" s="101"/>
      <c r="I465" s="102"/>
      <c r="J465" s="103"/>
      <c r="K465" s="76"/>
      <c r="L465" s="96"/>
    </row>
    <row r="466" spans="3:12" ht="13.5" thickBot="1" x14ac:dyDescent="0.3">
      <c r="C466" s="83"/>
      <c r="D466" s="485" t="s">
        <v>520</v>
      </c>
      <c r="E466" s="485"/>
      <c r="F466" s="485"/>
      <c r="G466" s="485"/>
      <c r="H466" s="485"/>
      <c r="I466" s="485"/>
      <c r="J466" s="485"/>
      <c r="K466" s="485"/>
      <c r="L466" s="98">
        <f>L464+L463</f>
        <v>47399.964003000001</v>
      </c>
    </row>
    <row r="467" spans="3:12" ht="13.5" thickBot="1" x14ac:dyDescent="0.3">
      <c r="C467" s="486"/>
      <c r="D467" s="487"/>
      <c r="E467" s="487"/>
      <c r="F467" s="487"/>
      <c r="G467" s="487"/>
      <c r="H467" s="487"/>
      <c r="I467" s="487"/>
      <c r="J467" s="487"/>
      <c r="K467" s="487"/>
      <c r="L467" s="488"/>
    </row>
    <row r="468" spans="3:12" ht="13.5" thickBot="1" x14ac:dyDescent="0.3">
      <c r="C468" s="489" t="s">
        <v>521</v>
      </c>
      <c r="D468" s="490"/>
      <c r="E468" s="490"/>
      <c r="F468" s="490"/>
      <c r="G468" s="490"/>
      <c r="H468" s="490"/>
      <c r="I468" s="490"/>
      <c r="J468" s="491"/>
      <c r="K468" s="145">
        <f>ROUND(L466+L459+L452+L445,0)</f>
        <v>618400</v>
      </c>
      <c r="L468" s="146"/>
    </row>
    <row r="470" spans="3:12" ht="13.5" thickBot="1" x14ac:dyDescent="0.3"/>
    <row r="471" spans="3:12" x14ac:dyDescent="0.25">
      <c r="C471" s="466" t="s">
        <v>495</v>
      </c>
      <c r="D471" s="467"/>
      <c r="E471" s="467"/>
      <c r="F471" s="467"/>
      <c r="G471" s="467"/>
      <c r="H471" s="467"/>
      <c r="I471" s="467"/>
      <c r="J471" s="467"/>
      <c r="K471" s="467"/>
      <c r="L471" s="468"/>
    </row>
    <row r="472" spans="3:12" ht="12.75" customHeight="1" x14ac:dyDescent="0.25">
      <c r="C472" s="469" t="str">
        <f>+PPTO!$A$2</f>
        <v>REPOSICION E INSTALACION VALVULAS DE SECTORIZACION EN DIFERENTES SECTORES DEL MUNICIPIO DE PIEDECUESTA - SANTANDER.</v>
      </c>
      <c r="D472" s="470"/>
      <c r="E472" s="470"/>
      <c r="F472" s="470"/>
      <c r="G472" s="470"/>
      <c r="H472" s="470"/>
      <c r="I472" s="470"/>
      <c r="J472" s="470"/>
      <c r="K472" s="470"/>
      <c r="L472" s="471"/>
    </row>
    <row r="473" spans="3:12" x14ac:dyDescent="0.25">
      <c r="C473" s="472" t="s">
        <v>496</v>
      </c>
      <c r="D473" s="141">
        <f>+PPTO!$A$20</f>
        <v>4</v>
      </c>
      <c r="E473" s="474" t="str">
        <f>+PPTO!$B$20</f>
        <v>SUMINISTRO E INSTALACION DE TUBERIAS Y ACCESORIOS.</v>
      </c>
      <c r="F473" s="475"/>
      <c r="G473" s="475"/>
      <c r="H473" s="475"/>
      <c r="I473" s="475"/>
      <c r="J473" s="475"/>
      <c r="K473" s="475"/>
      <c r="L473" s="70" t="s">
        <v>52</v>
      </c>
    </row>
    <row r="474" spans="3:12" ht="13.5" thickBot="1" x14ac:dyDescent="0.3">
      <c r="C474" s="473"/>
      <c r="D474" s="120">
        <f>+PPTO!A24</f>
        <v>4.04</v>
      </c>
      <c r="E474" s="476" t="str">
        <f>+PPTO!B24</f>
        <v>Suministro e instalación de válvula  D=6" en HD JH</v>
      </c>
      <c r="F474" s="476"/>
      <c r="G474" s="476"/>
      <c r="H474" s="476"/>
      <c r="I474" s="476"/>
      <c r="J474" s="476"/>
      <c r="K474" s="476"/>
      <c r="L474" s="71" t="str">
        <f>+PPTO!C24</f>
        <v>UND</v>
      </c>
    </row>
    <row r="475" spans="3:12" ht="13.5" thickBot="1" x14ac:dyDescent="0.3">
      <c r="C475" s="477"/>
      <c r="D475" s="478"/>
      <c r="E475" s="478"/>
      <c r="F475" s="478"/>
      <c r="G475" s="478"/>
      <c r="H475" s="478"/>
      <c r="I475" s="478"/>
      <c r="J475" s="478"/>
      <c r="K475" s="478"/>
      <c r="L475" s="479"/>
    </row>
    <row r="476" spans="3:12" x14ac:dyDescent="0.25">
      <c r="C476" s="466" t="s">
        <v>497</v>
      </c>
      <c r="D476" s="467"/>
      <c r="E476" s="467"/>
      <c r="F476" s="467"/>
      <c r="G476" s="467"/>
      <c r="H476" s="467"/>
      <c r="I476" s="467"/>
      <c r="J476" s="467"/>
      <c r="K476" s="467"/>
      <c r="L476" s="468"/>
    </row>
    <row r="477" spans="3:12" x14ac:dyDescent="0.25">
      <c r="C477" s="72" t="s">
        <v>66</v>
      </c>
      <c r="D477" s="492" t="s">
        <v>498</v>
      </c>
      <c r="E477" s="492"/>
      <c r="F477" s="492"/>
      <c r="G477" s="492"/>
      <c r="H477" s="492"/>
      <c r="I477" s="73" t="s">
        <v>499</v>
      </c>
      <c r="J477" s="74" t="s">
        <v>500</v>
      </c>
      <c r="K477" s="73" t="s">
        <v>501</v>
      </c>
      <c r="L477" s="70" t="s">
        <v>502</v>
      </c>
    </row>
    <row r="478" spans="3:12" x14ac:dyDescent="0.25">
      <c r="C478" s="75"/>
      <c r="D478" s="460"/>
      <c r="E478" s="499"/>
      <c r="F478" s="499"/>
      <c r="G478" s="499"/>
      <c r="H478" s="461"/>
      <c r="I478" s="76"/>
      <c r="J478" s="76"/>
      <c r="K478" s="77"/>
      <c r="L478" s="78"/>
    </row>
    <row r="479" spans="3:12" x14ac:dyDescent="0.25">
      <c r="C479" s="75"/>
      <c r="D479" s="493"/>
      <c r="E479" s="493"/>
      <c r="F479" s="493"/>
      <c r="G479" s="493"/>
      <c r="H479" s="493"/>
      <c r="I479" s="76"/>
      <c r="J479" s="80"/>
      <c r="K479" s="81"/>
      <c r="L479" s="78"/>
    </row>
    <row r="480" spans="3:12" x14ac:dyDescent="0.25">
      <c r="C480" s="79"/>
      <c r="D480" s="493" t="s">
        <v>503</v>
      </c>
      <c r="E480" s="493"/>
      <c r="F480" s="493"/>
      <c r="G480" s="493"/>
      <c r="H480" s="493"/>
      <c r="I480" s="76" t="s">
        <v>61</v>
      </c>
      <c r="J480" s="80">
        <v>1</v>
      </c>
      <c r="K480" s="81">
        <f>L502*0.1</f>
        <v>7899.9940004999999</v>
      </c>
      <c r="L480" s="82">
        <f>K480/J480</f>
        <v>7899.9940004999999</v>
      </c>
    </row>
    <row r="481" spans="3:15" ht="13.5" thickBot="1" x14ac:dyDescent="0.3">
      <c r="C481" s="83"/>
      <c r="D481" s="485" t="s">
        <v>504</v>
      </c>
      <c r="E481" s="485"/>
      <c r="F481" s="485"/>
      <c r="G481" s="485"/>
      <c r="H481" s="485"/>
      <c r="I481" s="485"/>
      <c r="J481" s="485"/>
      <c r="K481" s="485"/>
      <c r="L481" s="84">
        <f>SUM(L478:L480)</f>
        <v>7899.9940004999999</v>
      </c>
    </row>
    <row r="482" spans="3:15" ht="13.5" thickBot="1" x14ac:dyDescent="0.3">
      <c r="C482" s="477"/>
      <c r="D482" s="478"/>
      <c r="E482" s="478"/>
      <c r="F482" s="478"/>
      <c r="G482" s="478"/>
      <c r="H482" s="478"/>
      <c r="I482" s="478"/>
      <c r="J482" s="478"/>
      <c r="K482" s="478"/>
      <c r="L482" s="479"/>
    </row>
    <row r="483" spans="3:15" x14ac:dyDescent="0.25">
      <c r="C483" s="466" t="s">
        <v>505</v>
      </c>
      <c r="D483" s="467"/>
      <c r="E483" s="467"/>
      <c r="F483" s="467"/>
      <c r="G483" s="467"/>
      <c r="H483" s="467"/>
      <c r="I483" s="467"/>
      <c r="J483" s="467"/>
      <c r="K483" s="467"/>
      <c r="L483" s="468"/>
    </row>
    <row r="484" spans="3:15" ht="25.5" x14ac:dyDescent="0.25">
      <c r="C484" s="72" t="s">
        <v>66</v>
      </c>
      <c r="D484" s="492" t="s">
        <v>498</v>
      </c>
      <c r="E484" s="492"/>
      <c r="F484" s="492"/>
      <c r="G484" s="492"/>
      <c r="H484" s="73" t="s">
        <v>499</v>
      </c>
      <c r="I484" s="74" t="s">
        <v>506</v>
      </c>
      <c r="J484" s="73" t="s">
        <v>501</v>
      </c>
      <c r="K484" s="85" t="s">
        <v>507</v>
      </c>
      <c r="L484" s="70" t="s">
        <v>502</v>
      </c>
    </row>
    <row r="485" spans="3:15" x14ac:dyDescent="0.25">
      <c r="C485" s="72" t="str">
        <f>+MATERIALES!A291</f>
        <v>MAT-261</v>
      </c>
      <c r="D485" s="498" t="str">
        <f>+MATERIALES!B291</f>
        <v>válvula  D=6" en HD JH</v>
      </c>
      <c r="E485" s="496"/>
      <c r="F485" s="496"/>
      <c r="G485" s="497"/>
      <c r="H485" s="73" t="str">
        <f>+MATERIALES!C291</f>
        <v>und</v>
      </c>
      <c r="I485" s="76">
        <v>1</v>
      </c>
      <c r="J485" s="86">
        <f>+MATERIALES!D291</f>
        <v>1497800</v>
      </c>
      <c r="K485" s="87">
        <v>0</v>
      </c>
      <c r="L485" s="88">
        <f>I485*J485*(1+K485)</f>
        <v>1497800</v>
      </c>
    </row>
    <row r="486" spans="3:15" x14ac:dyDescent="0.25">
      <c r="C486" s="72"/>
      <c r="D486" s="460"/>
      <c r="E486" s="499"/>
      <c r="F486" s="499"/>
      <c r="G486" s="461"/>
      <c r="H486" s="73"/>
      <c r="I486" s="76"/>
      <c r="J486" s="86"/>
      <c r="K486" s="87"/>
      <c r="L486" s="88"/>
    </row>
    <row r="487" spans="3:15" x14ac:dyDescent="0.25">
      <c r="C487" s="90"/>
      <c r="D487" s="500"/>
      <c r="E487" s="500"/>
      <c r="F487" s="500"/>
      <c r="G487" s="500"/>
      <c r="H487" s="97"/>
      <c r="I487" s="91"/>
      <c r="J487" s="92"/>
      <c r="K487" s="93"/>
      <c r="L487" s="82"/>
    </row>
    <row r="488" spans="3:15" ht="13.5" thickBot="1" x14ac:dyDescent="0.3">
      <c r="C488" s="94"/>
      <c r="D488" s="485" t="s">
        <v>508</v>
      </c>
      <c r="E488" s="485"/>
      <c r="F488" s="485"/>
      <c r="G488" s="485"/>
      <c r="H488" s="485"/>
      <c r="I488" s="485"/>
      <c r="J488" s="485"/>
      <c r="K488" s="485"/>
      <c r="L488" s="84">
        <f>SUM(L485:L487)</f>
        <v>1497800</v>
      </c>
    </row>
    <row r="489" spans="3:15" ht="13.5" thickBot="1" x14ac:dyDescent="0.3">
      <c r="C489" s="486"/>
      <c r="D489" s="487"/>
      <c r="E489" s="487"/>
      <c r="F489" s="487"/>
      <c r="G489" s="487"/>
      <c r="H489" s="487"/>
      <c r="I489" s="487"/>
      <c r="J489" s="487"/>
      <c r="K489" s="487"/>
      <c r="L489" s="488"/>
    </row>
    <row r="490" spans="3:15" x14ac:dyDescent="0.25">
      <c r="C490" s="466" t="s">
        <v>509</v>
      </c>
      <c r="D490" s="467"/>
      <c r="E490" s="467"/>
      <c r="F490" s="467"/>
      <c r="G490" s="467"/>
      <c r="H490" s="467"/>
      <c r="I490" s="467"/>
      <c r="J490" s="467"/>
      <c r="K490" s="467"/>
      <c r="L490" s="468"/>
    </row>
    <row r="491" spans="3:15" x14ac:dyDescent="0.25">
      <c r="C491" s="72" t="s">
        <v>66</v>
      </c>
      <c r="D491" s="492" t="s">
        <v>498</v>
      </c>
      <c r="E491" s="492"/>
      <c r="F491" s="492"/>
      <c r="G491" s="492"/>
      <c r="H491" s="73" t="s">
        <v>506</v>
      </c>
      <c r="I491" s="73" t="s">
        <v>499</v>
      </c>
      <c r="J491" s="74" t="s">
        <v>510</v>
      </c>
      <c r="K491" s="85" t="s">
        <v>511</v>
      </c>
      <c r="L491" s="70" t="s">
        <v>502</v>
      </c>
    </row>
    <row r="492" spans="3:15" x14ac:dyDescent="0.25">
      <c r="C492" s="90"/>
      <c r="D492" s="494"/>
      <c r="E492" s="494"/>
      <c r="F492" s="494"/>
      <c r="G492" s="494"/>
      <c r="H492" s="76"/>
      <c r="I492" s="97"/>
      <c r="J492" s="97"/>
      <c r="K492" s="95"/>
      <c r="L492" s="96"/>
      <c r="O492" s="119">
        <f>1584700-(L502+L481)</f>
        <v>1497800.0659944999</v>
      </c>
    </row>
    <row r="493" spans="3:15" x14ac:dyDescent="0.25">
      <c r="C493" s="90"/>
      <c r="D493" s="495"/>
      <c r="E493" s="495"/>
      <c r="F493" s="495"/>
      <c r="G493" s="495"/>
      <c r="H493" s="76"/>
      <c r="I493" s="97"/>
      <c r="J493" s="97"/>
      <c r="K493" s="95"/>
      <c r="L493" s="96"/>
    </row>
    <row r="494" spans="3:15" x14ac:dyDescent="0.25">
      <c r="C494" s="90"/>
      <c r="D494" s="495"/>
      <c r="E494" s="495"/>
      <c r="F494" s="495"/>
      <c r="G494" s="495"/>
      <c r="H494" s="76"/>
      <c r="I494" s="97"/>
      <c r="J494" s="97"/>
      <c r="K494" s="95"/>
      <c r="L494" s="96"/>
    </row>
    <row r="495" spans="3:15" ht="13.5" thickBot="1" x14ac:dyDescent="0.3">
      <c r="C495" s="83"/>
      <c r="D495" s="485" t="s">
        <v>512</v>
      </c>
      <c r="E495" s="485"/>
      <c r="F495" s="485"/>
      <c r="G495" s="485"/>
      <c r="H495" s="485"/>
      <c r="I495" s="485"/>
      <c r="J495" s="485"/>
      <c r="K495" s="485"/>
      <c r="L495" s="98">
        <f>L492</f>
        <v>0</v>
      </c>
    </row>
    <row r="496" spans="3:15" ht="13.5" thickBot="1" x14ac:dyDescent="0.3">
      <c r="C496" s="477"/>
      <c r="D496" s="478"/>
      <c r="E496" s="478"/>
      <c r="F496" s="478"/>
      <c r="G496" s="478"/>
      <c r="H496" s="478"/>
      <c r="I496" s="478"/>
      <c r="J496" s="478"/>
      <c r="K496" s="478"/>
      <c r="L496" s="479"/>
    </row>
    <row r="497" spans="3:12" x14ac:dyDescent="0.25">
      <c r="C497" s="466" t="s">
        <v>513</v>
      </c>
      <c r="D497" s="467"/>
      <c r="E497" s="467"/>
      <c r="F497" s="467"/>
      <c r="G497" s="467"/>
      <c r="H497" s="467"/>
      <c r="I497" s="467"/>
      <c r="J497" s="467"/>
      <c r="K497" s="467"/>
      <c r="L497" s="468"/>
    </row>
    <row r="498" spans="3:12" x14ac:dyDescent="0.25">
      <c r="C498" s="72" t="s">
        <v>66</v>
      </c>
      <c r="D498" s="492" t="s">
        <v>498</v>
      </c>
      <c r="E498" s="492"/>
      <c r="F498" s="85" t="s">
        <v>499</v>
      </c>
      <c r="G498" s="85" t="s">
        <v>506</v>
      </c>
      <c r="H498" s="73" t="s">
        <v>514</v>
      </c>
      <c r="I498" s="99" t="s">
        <v>515</v>
      </c>
      <c r="J498" s="85" t="s">
        <v>516</v>
      </c>
      <c r="K498" s="99" t="s">
        <v>517</v>
      </c>
      <c r="L498" s="100" t="s">
        <v>502</v>
      </c>
    </row>
    <row r="499" spans="3:12" x14ac:dyDescent="0.25">
      <c r="C499" s="79" t="s">
        <v>519</v>
      </c>
      <c r="D499" s="460" t="str">
        <f>'MANO DE OBRA'!$B$3</f>
        <v>Ayudante</v>
      </c>
      <c r="E499" s="461"/>
      <c r="F499" s="97" t="str">
        <f>'MANO DE OBRA'!$C$2</f>
        <v>DIA</v>
      </c>
      <c r="G499" s="76">
        <v>3</v>
      </c>
      <c r="H499" s="101">
        <f>'MANO DE OBRA'!$D$3</f>
        <v>28981.77</v>
      </c>
      <c r="I499" s="102">
        <v>0.75649999999999995</v>
      </c>
      <c r="J499" s="103">
        <f>(H499+(H499*I499))</f>
        <v>50906.479005000001</v>
      </c>
      <c r="K499" s="76">
        <v>3</v>
      </c>
      <c r="L499" s="96">
        <f>G499*(J499/K499)</f>
        <v>50906.479005000001</v>
      </c>
    </row>
    <row r="500" spans="3:12" x14ac:dyDescent="0.25">
      <c r="C500" s="79" t="s">
        <v>526</v>
      </c>
      <c r="D500" s="460" t="str">
        <f>'MANO DE OBRA'!$B$2</f>
        <v>Oficial</v>
      </c>
      <c r="E500" s="461"/>
      <c r="F500" s="97" t="str">
        <f>'MANO DE OBRA'!$C$3</f>
        <v>DIA</v>
      </c>
      <c r="G500" s="76">
        <v>1</v>
      </c>
      <c r="H500" s="101">
        <f>'MANO DE OBRA'!$D$2</f>
        <v>47982</v>
      </c>
      <c r="I500" s="102">
        <v>0.75649999999999995</v>
      </c>
      <c r="J500" s="103">
        <f>(H500+(H500*I500))</f>
        <v>84280.383000000002</v>
      </c>
      <c r="K500" s="76">
        <v>3</v>
      </c>
      <c r="L500" s="96">
        <f>G500*(J500/K500)</f>
        <v>28093.460999999999</v>
      </c>
    </row>
    <row r="501" spans="3:12" x14ac:dyDescent="0.25">
      <c r="C501" s="90"/>
      <c r="D501" s="493"/>
      <c r="E501" s="493"/>
      <c r="F501" s="97"/>
      <c r="G501" s="76"/>
      <c r="H501" s="101"/>
      <c r="I501" s="102"/>
      <c r="J501" s="103"/>
      <c r="K501" s="76"/>
      <c r="L501" s="96"/>
    </row>
    <row r="502" spans="3:12" ht="13.5" thickBot="1" x14ac:dyDescent="0.3">
      <c r="C502" s="83"/>
      <c r="D502" s="485" t="s">
        <v>520</v>
      </c>
      <c r="E502" s="485"/>
      <c r="F502" s="485"/>
      <c r="G502" s="485"/>
      <c r="H502" s="485"/>
      <c r="I502" s="485"/>
      <c r="J502" s="485"/>
      <c r="K502" s="485"/>
      <c r="L502" s="98">
        <f>L500+L499</f>
        <v>78999.940004999997</v>
      </c>
    </row>
    <row r="503" spans="3:12" ht="13.5" thickBot="1" x14ac:dyDescent="0.3">
      <c r="C503" s="486"/>
      <c r="D503" s="487"/>
      <c r="E503" s="487"/>
      <c r="F503" s="487"/>
      <c r="G503" s="487"/>
      <c r="H503" s="487"/>
      <c r="I503" s="487"/>
      <c r="J503" s="487"/>
      <c r="K503" s="487"/>
      <c r="L503" s="488"/>
    </row>
    <row r="504" spans="3:12" ht="13.5" thickBot="1" x14ac:dyDescent="0.3">
      <c r="C504" s="489" t="s">
        <v>521</v>
      </c>
      <c r="D504" s="490"/>
      <c r="E504" s="490"/>
      <c r="F504" s="490"/>
      <c r="G504" s="490"/>
      <c r="H504" s="490"/>
      <c r="I504" s="490"/>
      <c r="J504" s="491"/>
      <c r="K504" s="145">
        <f>ROUND(L502+L495+L488+L481,0)</f>
        <v>1584700</v>
      </c>
      <c r="L504" s="146"/>
    </row>
    <row r="506" spans="3:12" ht="13.5" thickBot="1" x14ac:dyDescent="0.3"/>
    <row r="507" spans="3:12" x14ac:dyDescent="0.25">
      <c r="C507" s="466" t="s">
        <v>495</v>
      </c>
      <c r="D507" s="467"/>
      <c r="E507" s="467"/>
      <c r="F507" s="467"/>
      <c r="G507" s="467"/>
      <c r="H507" s="467"/>
      <c r="I507" s="467"/>
      <c r="J507" s="467"/>
      <c r="K507" s="467"/>
      <c r="L507" s="468"/>
    </row>
    <row r="508" spans="3:12" ht="12.75" customHeight="1" x14ac:dyDescent="0.25">
      <c r="C508" s="469" t="str">
        <f>+PPTO!$A$2</f>
        <v>REPOSICION E INSTALACION VALVULAS DE SECTORIZACION EN DIFERENTES SECTORES DEL MUNICIPIO DE PIEDECUESTA - SANTANDER.</v>
      </c>
      <c r="D508" s="470"/>
      <c r="E508" s="470"/>
      <c r="F508" s="470"/>
      <c r="G508" s="470"/>
      <c r="H508" s="470"/>
      <c r="I508" s="470"/>
      <c r="J508" s="470"/>
      <c r="K508" s="470"/>
      <c r="L508" s="471"/>
    </row>
    <row r="509" spans="3:12" x14ac:dyDescent="0.25">
      <c r="C509" s="472" t="s">
        <v>496</v>
      </c>
      <c r="D509" s="141">
        <f>+PPTO!$A$20</f>
        <v>4</v>
      </c>
      <c r="E509" s="474" t="str">
        <f>+PPTO!$B$20</f>
        <v>SUMINISTRO E INSTALACION DE TUBERIAS Y ACCESORIOS.</v>
      </c>
      <c r="F509" s="475"/>
      <c r="G509" s="475"/>
      <c r="H509" s="475"/>
      <c r="I509" s="475"/>
      <c r="J509" s="475"/>
      <c r="K509" s="475"/>
      <c r="L509" s="70" t="s">
        <v>52</v>
      </c>
    </row>
    <row r="510" spans="3:12" ht="13.5" thickBot="1" x14ac:dyDescent="0.3">
      <c r="C510" s="473"/>
      <c r="D510" s="120">
        <f>+PPTO!A25</f>
        <v>4.05</v>
      </c>
      <c r="E510" s="476" t="str">
        <f>+PPTO!B25</f>
        <v>Suministro e instalación de válvula  D=8" en HD JH</v>
      </c>
      <c r="F510" s="476"/>
      <c r="G510" s="476"/>
      <c r="H510" s="476"/>
      <c r="I510" s="476"/>
      <c r="J510" s="476"/>
      <c r="K510" s="476"/>
      <c r="L510" s="71" t="str">
        <f>+PPTO!C25</f>
        <v>UND</v>
      </c>
    </row>
    <row r="511" spans="3:12" ht="13.5" thickBot="1" x14ac:dyDescent="0.3">
      <c r="C511" s="477"/>
      <c r="D511" s="478"/>
      <c r="E511" s="478"/>
      <c r="F511" s="478"/>
      <c r="G511" s="478"/>
      <c r="H511" s="478"/>
      <c r="I511" s="478"/>
      <c r="J511" s="478"/>
      <c r="K511" s="478"/>
      <c r="L511" s="479"/>
    </row>
    <row r="512" spans="3:12" x14ac:dyDescent="0.25">
      <c r="C512" s="466" t="s">
        <v>497</v>
      </c>
      <c r="D512" s="467"/>
      <c r="E512" s="467"/>
      <c r="F512" s="467"/>
      <c r="G512" s="467"/>
      <c r="H512" s="467"/>
      <c r="I512" s="467"/>
      <c r="J512" s="467"/>
      <c r="K512" s="467"/>
      <c r="L512" s="468"/>
    </row>
    <row r="513" spans="3:15" x14ac:dyDescent="0.25">
      <c r="C513" s="72" t="s">
        <v>66</v>
      </c>
      <c r="D513" s="492" t="s">
        <v>498</v>
      </c>
      <c r="E513" s="492"/>
      <c r="F513" s="492"/>
      <c r="G513" s="492"/>
      <c r="H513" s="492"/>
      <c r="I513" s="73" t="s">
        <v>499</v>
      </c>
      <c r="J513" s="74" t="s">
        <v>500</v>
      </c>
      <c r="K513" s="73" t="s">
        <v>501</v>
      </c>
      <c r="L513" s="70" t="s">
        <v>502</v>
      </c>
    </row>
    <row r="514" spans="3:15" x14ac:dyDescent="0.25">
      <c r="C514" s="75"/>
      <c r="D514" s="460"/>
      <c r="E514" s="499"/>
      <c r="F514" s="499"/>
      <c r="G514" s="499"/>
      <c r="H514" s="461"/>
      <c r="I514" s="76"/>
      <c r="J514" s="76"/>
      <c r="K514" s="77"/>
      <c r="L514" s="78"/>
    </row>
    <row r="515" spans="3:15" x14ac:dyDescent="0.25">
      <c r="C515" s="147" t="s">
        <v>12</v>
      </c>
      <c r="D515" s="493" t="str">
        <f>+EQUIPO!$B$7</f>
        <v>Diferencial</v>
      </c>
      <c r="E515" s="493"/>
      <c r="F515" s="493"/>
      <c r="G515" s="493"/>
      <c r="H515" s="493"/>
      <c r="I515" s="76" t="str">
        <f>+EQUIPO!$C$7</f>
        <v>día</v>
      </c>
      <c r="J515" s="80">
        <v>1</v>
      </c>
      <c r="K515" s="81">
        <f>+EQUIPO!$D$7</f>
        <v>50000</v>
      </c>
      <c r="L515" s="78">
        <f>+K515*J515</f>
        <v>50000</v>
      </c>
    </row>
    <row r="516" spans="3:15" x14ac:dyDescent="0.25">
      <c r="C516" s="79"/>
      <c r="D516" s="493" t="s">
        <v>503</v>
      </c>
      <c r="E516" s="493"/>
      <c r="F516" s="493"/>
      <c r="G516" s="493"/>
      <c r="H516" s="493"/>
      <c r="I516" s="76" t="s">
        <v>61</v>
      </c>
      <c r="J516" s="80">
        <v>1</v>
      </c>
      <c r="K516" s="81">
        <f>L538*0.1</f>
        <v>11849.99100075</v>
      </c>
      <c r="L516" s="82">
        <f>K516/J516</f>
        <v>11849.99100075</v>
      </c>
    </row>
    <row r="517" spans="3:15" ht="13.5" thickBot="1" x14ac:dyDescent="0.3">
      <c r="C517" s="83"/>
      <c r="D517" s="485" t="s">
        <v>504</v>
      </c>
      <c r="E517" s="485"/>
      <c r="F517" s="485"/>
      <c r="G517" s="485"/>
      <c r="H517" s="485"/>
      <c r="I517" s="485"/>
      <c r="J517" s="485"/>
      <c r="K517" s="485"/>
      <c r="L517" s="84">
        <f>SUM(L514:L516)</f>
        <v>61849.99100075</v>
      </c>
    </row>
    <row r="518" spans="3:15" ht="13.5" thickBot="1" x14ac:dyDescent="0.3">
      <c r="C518" s="477"/>
      <c r="D518" s="478"/>
      <c r="E518" s="478"/>
      <c r="F518" s="478"/>
      <c r="G518" s="478"/>
      <c r="H518" s="478"/>
      <c r="I518" s="478"/>
      <c r="J518" s="478"/>
      <c r="K518" s="478"/>
      <c r="L518" s="479"/>
    </row>
    <row r="519" spans="3:15" x14ac:dyDescent="0.25">
      <c r="C519" s="466" t="s">
        <v>505</v>
      </c>
      <c r="D519" s="467"/>
      <c r="E519" s="467"/>
      <c r="F519" s="467"/>
      <c r="G519" s="467"/>
      <c r="H519" s="467"/>
      <c r="I519" s="467"/>
      <c r="J519" s="467"/>
      <c r="K519" s="467"/>
      <c r="L519" s="468"/>
    </row>
    <row r="520" spans="3:15" ht="25.5" x14ac:dyDescent="0.25">
      <c r="C520" s="72" t="s">
        <v>66</v>
      </c>
      <c r="D520" s="492" t="s">
        <v>498</v>
      </c>
      <c r="E520" s="492"/>
      <c r="F520" s="492"/>
      <c r="G520" s="492"/>
      <c r="H520" s="73" t="s">
        <v>499</v>
      </c>
      <c r="I520" s="74" t="s">
        <v>506</v>
      </c>
      <c r="J520" s="73" t="s">
        <v>501</v>
      </c>
      <c r="K520" s="85" t="s">
        <v>507</v>
      </c>
      <c r="L520" s="70" t="s">
        <v>502</v>
      </c>
    </row>
    <row r="521" spans="3:15" x14ac:dyDescent="0.25">
      <c r="C521" s="72" t="str">
        <f>+MATERIALES!A292</f>
        <v>MAT-262</v>
      </c>
      <c r="D521" s="498" t="str">
        <f>+MATERIALES!B292</f>
        <v>válvula  D=8" en HD JH</v>
      </c>
      <c r="E521" s="496"/>
      <c r="F521" s="496"/>
      <c r="G521" s="497"/>
      <c r="H521" s="73" t="str">
        <f>+MATERIALES!C292</f>
        <v>und</v>
      </c>
      <c r="I521" s="76">
        <v>1</v>
      </c>
      <c r="J521" s="86">
        <f>+MATERIALES!D292</f>
        <v>2138750</v>
      </c>
      <c r="K521" s="87">
        <v>0</v>
      </c>
      <c r="L521" s="88">
        <f>I521*J521*(1+K521)</f>
        <v>2138750</v>
      </c>
    </row>
    <row r="522" spans="3:15" x14ac:dyDescent="0.25">
      <c r="C522" s="72"/>
      <c r="D522" s="460"/>
      <c r="E522" s="499"/>
      <c r="F522" s="499"/>
      <c r="G522" s="461"/>
      <c r="H522" s="73"/>
      <c r="I522" s="76"/>
      <c r="J522" s="86"/>
      <c r="K522" s="87"/>
      <c r="L522" s="88"/>
    </row>
    <row r="523" spans="3:15" x14ac:dyDescent="0.25">
      <c r="C523" s="90"/>
      <c r="D523" s="500"/>
      <c r="E523" s="500"/>
      <c r="F523" s="500"/>
      <c r="G523" s="500"/>
      <c r="H523" s="97"/>
      <c r="I523" s="91"/>
      <c r="J523" s="92"/>
      <c r="K523" s="93"/>
      <c r="L523" s="82"/>
    </row>
    <row r="524" spans="3:15" ht="13.5" thickBot="1" x14ac:dyDescent="0.3">
      <c r="C524" s="94"/>
      <c r="D524" s="485" t="s">
        <v>508</v>
      </c>
      <c r="E524" s="485"/>
      <c r="F524" s="485"/>
      <c r="G524" s="485"/>
      <c r="H524" s="485"/>
      <c r="I524" s="485"/>
      <c r="J524" s="485"/>
      <c r="K524" s="485"/>
      <c r="L524" s="84">
        <f>SUM(L521:L523)</f>
        <v>2138750</v>
      </c>
    </row>
    <row r="525" spans="3:15" ht="13.5" thickBot="1" x14ac:dyDescent="0.3">
      <c r="C525" s="486"/>
      <c r="D525" s="487"/>
      <c r="E525" s="487"/>
      <c r="F525" s="487"/>
      <c r="G525" s="487"/>
      <c r="H525" s="487"/>
      <c r="I525" s="487"/>
      <c r="J525" s="487"/>
      <c r="K525" s="487"/>
      <c r="L525" s="488"/>
    </row>
    <row r="526" spans="3:15" x14ac:dyDescent="0.25">
      <c r="C526" s="466" t="s">
        <v>509</v>
      </c>
      <c r="D526" s="467"/>
      <c r="E526" s="467"/>
      <c r="F526" s="467"/>
      <c r="G526" s="467"/>
      <c r="H526" s="467"/>
      <c r="I526" s="467"/>
      <c r="J526" s="467"/>
      <c r="K526" s="467"/>
      <c r="L526" s="468"/>
    </row>
    <row r="527" spans="3:15" x14ac:dyDescent="0.25">
      <c r="C527" s="72" t="s">
        <v>66</v>
      </c>
      <c r="D527" s="492" t="s">
        <v>498</v>
      </c>
      <c r="E527" s="492"/>
      <c r="F527" s="492"/>
      <c r="G527" s="492"/>
      <c r="H527" s="73" t="s">
        <v>506</v>
      </c>
      <c r="I527" s="73" t="s">
        <v>499</v>
      </c>
      <c r="J527" s="74" t="s">
        <v>510</v>
      </c>
      <c r="K527" s="85" t="s">
        <v>511</v>
      </c>
      <c r="L527" s="70" t="s">
        <v>502</v>
      </c>
    </row>
    <row r="528" spans="3:15" x14ac:dyDescent="0.25">
      <c r="C528" s="90"/>
      <c r="D528" s="494"/>
      <c r="E528" s="494"/>
      <c r="F528" s="494"/>
      <c r="G528" s="494"/>
      <c r="H528" s="76"/>
      <c r="I528" s="97"/>
      <c r="J528" s="97"/>
      <c r="K528" s="95"/>
      <c r="L528" s="96"/>
      <c r="O528" s="119">
        <f>2319100-(L538+L517)</f>
        <v>2138750.0989917498</v>
      </c>
    </row>
    <row r="529" spans="3:12" x14ac:dyDescent="0.25">
      <c r="C529" s="90"/>
      <c r="D529" s="495"/>
      <c r="E529" s="495"/>
      <c r="F529" s="495"/>
      <c r="G529" s="495"/>
      <c r="H529" s="76"/>
      <c r="I529" s="97"/>
      <c r="J529" s="97"/>
      <c r="K529" s="95"/>
      <c r="L529" s="96"/>
    </row>
    <row r="530" spans="3:12" x14ac:dyDescent="0.25">
      <c r="C530" s="90"/>
      <c r="D530" s="495"/>
      <c r="E530" s="495"/>
      <c r="F530" s="495"/>
      <c r="G530" s="495"/>
      <c r="H530" s="76"/>
      <c r="I530" s="97"/>
      <c r="J530" s="97"/>
      <c r="K530" s="95"/>
      <c r="L530" s="96"/>
    </row>
    <row r="531" spans="3:12" ht="13.5" thickBot="1" x14ac:dyDescent="0.3">
      <c r="C531" s="83"/>
      <c r="D531" s="485" t="s">
        <v>512</v>
      </c>
      <c r="E531" s="485"/>
      <c r="F531" s="485"/>
      <c r="G531" s="485"/>
      <c r="H531" s="485"/>
      <c r="I531" s="485"/>
      <c r="J531" s="485"/>
      <c r="K531" s="485"/>
      <c r="L531" s="98">
        <f>L528</f>
        <v>0</v>
      </c>
    </row>
    <row r="532" spans="3:12" ht="13.5" thickBot="1" x14ac:dyDescent="0.3">
      <c r="C532" s="477"/>
      <c r="D532" s="478"/>
      <c r="E532" s="478"/>
      <c r="F532" s="478"/>
      <c r="G532" s="478"/>
      <c r="H532" s="478"/>
      <c r="I532" s="478"/>
      <c r="J532" s="478"/>
      <c r="K532" s="478"/>
      <c r="L532" s="479"/>
    </row>
    <row r="533" spans="3:12" x14ac:dyDescent="0.25">
      <c r="C533" s="466" t="s">
        <v>513</v>
      </c>
      <c r="D533" s="467"/>
      <c r="E533" s="467"/>
      <c r="F533" s="467"/>
      <c r="G533" s="467"/>
      <c r="H533" s="467"/>
      <c r="I533" s="467"/>
      <c r="J533" s="467"/>
      <c r="K533" s="467"/>
      <c r="L533" s="468"/>
    </row>
    <row r="534" spans="3:12" x14ac:dyDescent="0.25">
      <c r="C534" s="72" t="s">
        <v>66</v>
      </c>
      <c r="D534" s="492" t="s">
        <v>498</v>
      </c>
      <c r="E534" s="492"/>
      <c r="F534" s="85" t="s">
        <v>499</v>
      </c>
      <c r="G534" s="85" t="s">
        <v>506</v>
      </c>
      <c r="H534" s="73" t="s">
        <v>514</v>
      </c>
      <c r="I534" s="99" t="s">
        <v>515</v>
      </c>
      <c r="J534" s="85" t="s">
        <v>516</v>
      </c>
      <c r="K534" s="99" t="s">
        <v>517</v>
      </c>
      <c r="L534" s="100" t="s">
        <v>502</v>
      </c>
    </row>
    <row r="535" spans="3:12" x14ac:dyDescent="0.25">
      <c r="C535" s="79" t="s">
        <v>519</v>
      </c>
      <c r="D535" s="460" t="str">
        <f>'MANO DE OBRA'!$B$3</f>
        <v>Ayudante</v>
      </c>
      <c r="E535" s="461"/>
      <c r="F535" s="97" t="str">
        <f>'MANO DE OBRA'!$C$2</f>
        <v>DIA</v>
      </c>
      <c r="G535" s="76">
        <v>3</v>
      </c>
      <c r="H535" s="101">
        <f>'MANO DE OBRA'!$D$3</f>
        <v>28981.77</v>
      </c>
      <c r="I535" s="102">
        <v>0.75649999999999995</v>
      </c>
      <c r="J535" s="103">
        <f>(H535+(H535*I535))</f>
        <v>50906.479005000001</v>
      </c>
      <c r="K535" s="76">
        <v>2</v>
      </c>
      <c r="L535" s="96">
        <f>G535*(J535/K535)</f>
        <v>76359.718507500002</v>
      </c>
    </row>
    <row r="536" spans="3:12" x14ac:dyDescent="0.25">
      <c r="C536" s="79" t="s">
        <v>526</v>
      </c>
      <c r="D536" s="460" t="str">
        <f>'MANO DE OBRA'!$B$2</f>
        <v>Oficial</v>
      </c>
      <c r="E536" s="461"/>
      <c r="F536" s="97" t="str">
        <f>'MANO DE OBRA'!$C$3</f>
        <v>DIA</v>
      </c>
      <c r="G536" s="76">
        <v>1</v>
      </c>
      <c r="H536" s="101">
        <f>'MANO DE OBRA'!$D$2</f>
        <v>47982</v>
      </c>
      <c r="I536" s="102">
        <v>0.75649999999999995</v>
      </c>
      <c r="J536" s="103">
        <f>(H536+(H536*I536))</f>
        <v>84280.383000000002</v>
      </c>
      <c r="K536" s="76">
        <v>2</v>
      </c>
      <c r="L536" s="96">
        <f>G536*(J536/K536)</f>
        <v>42140.191500000001</v>
      </c>
    </row>
    <row r="537" spans="3:12" x14ac:dyDescent="0.25">
      <c r="C537" s="90"/>
      <c r="D537" s="493"/>
      <c r="E537" s="493"/>
      <c r="F537" s="97"/>
      <c r="G537" s="76"/>
      <c r="H537" s="101"/>
      <c r="I537" s="102"/>
      <c r="J537" s="103"/>
      <c r="K537" s="76"/>
      <c r="L537" s="96"/>
    </row>
    <row r="538" spans="3:12" ht="13.5" thickBot="1" x14ac:dyDescent="0.3">
      <c r="C538" s="83"/>
      <c r="D538" s="485" t="s">
        <v>520</v>
      </c>
      <c r="E538" s="485"/>
      <c r="F538" s="485"/>
      <c r="G538" s="485"/>
      <c r="H538" s="485"/>
      <c r="I538" s="485"/>
      <c r="J538" s="485"/>
      <c r="K538" s="485"/>
      <c r="L538" s="98">
        <f>L536+L535</f>
        <v>118499.9100075</v>
      </c>
    </row>
    <row r="539" spans="3:12" ht="13.5" thickBot="1" x14ac:dyDescent="0.3">
      <c r="C539" s="486"/>
      <c r="D539" s="487"/>
      <c r="E539" s="487"/>
      <c r="F539" s="487"/>
      <c r="G539" s="487"/>
      <c r="H539" s="487"/>
      <c r="I539" s="487"/>
      <c r="J539" s="487"/>
      <c r="K539" s="487"/>
      <c r="L539" s="488"/>
    </row>
    <row r="540" spans="3:12" ht="13.5" thickBot="1" x14ac:dyDescent="0.3">
      <c r="C540" s="489" t="s">
        <v>521</v>
      </c>
      <c r="D540" s="490"/>
      <c r="E540" s="490"/>
      <c r="F540" s="490"/>
      <c r="G540" s="490"/>
      <c r="H540" s="490"/>
      <c r="I540" s="490"/>
      <c r="J540" s="491"/>
      <c r="K540" s="145">
        <f>ROUND(L538+L531+L524+L517,0)</f>
        <v>2319100</v>
      </c>
      <c r="L540" s="146"/>
    </row>
    <row r="542" spans="3:12" ht="13.5" thickBot="1" x14ac:dyDescent="0.3"/>
    <row r="543" spans="3:12" x14ac:dyDescent="0.25">
      <c r="C543" s="466" t="s">
        <v>495</v>
      </c>
      <c r="D543" s="467"/>
      <c r="E543" s="467"/>
      <c r="F543" s="467"/>
      <c r="G543" s="467"/>
      <c r="H543" s="467"/>
      <c r="I543" s="467"/>
      <c r="J543" s="467"/>
      <c r="K543" s="467"/>
      <c r="L543" s="468"/>
    </row>
    <row r="544" spans="3:12" ht="12.75" customHeight="1" x14ac:dyDescent="0.25">
      <c r="C544" s="469" t="str">
        <f>+PPTO!$A$2</f>
        <v>REPOSICION E INSTALACION VALVULAS DE SECTORIZACION EN DIFERENTES SECTORES DEL MUNICIPIO DE PIEDECUESTA - SANTANDER.</v>
      </c>
      <c r="D544" s="470"/>
      <c r="E544" s="470"/>
      <c r="F544" s="470"/>
      <c r="G544" s="470"/>
      <c r="H544" s="470"/>
      <c r="I544" s="470"/>
      <c r="J544" s="470"/>
      <c r="K544" s="470"/>
      <c r="L544" s="471"/>
    </row>
    <row r="545" spans="3:12" x14ac:dyDescent="0.25">
      <c r="C545" s="472" t="s">
        <v>496</v>
      </c>
      <c r="D545" s="141">
        <f>+PPTO!$A$20</f>
        <v>4</v>
      </c>
      <c r="E545" s="474" t="str">
        <f>+PPTO!$B$20</f>
        <v>SUMINISTRO E INSTALACION DE TUBERIAS Y ACCESORIOS.</v>
      </c>
      <c r="F545" s="475"/>
      <c r="G545" s="475"/>
      <c r="H545" s="475"/>
      <c r="I545" s="475"/>
      <c r="J545" s="475"/>
      <c r="K545" s="475"/>
      <c r="L545" s="70" t="s">
        <v>52</v>
      </c>
    </row>
    <row r="546" spans="3:12" ht="13.5" thickBot="1" x14ac:dyDescent="0.3">
      <c r="C546" s="473"/>
      <c r="D546" s="120">
        <f>+PPTO!A26</f>
        <v>4.0599999999999996</v>
      </c>
      <c r="E546" s="476" t="str">
        <f>+PPTO!B26</f>
        <v>Suministro e instalación de válvula  D=10" en HD JH</v>
      </c>
      <c r="F546" s="476"/>
      <c r="G546" s="476"/>
      <c r="H546" s="476"/>
      <c r="I546" s="476"/>
      <c r="J546" s="476"/>
      <c r="K546" s="476"/>
      <c r="L546" s="71" t="str">
        <f>+PPTO!C26</f>
        <v>UND</v>
      </c>
    </row>
    <row r="547" spans="3:12" ht="13.5" thickBot="1" x14ac:dyDescent="0.3">
      <c r="C547" s="477"/>
      <c r="D547" s="478"/>
      <c r="E547" s="478"/>
      <c r="F547" s="478"/>
      <c r="G547" s="478"/>
      <c r="H547" s="478"/>
      <c r="I547" s="478"/>
      <c r="J547" s="478"/>
      <c r="K547" s="478"/>
      <c r="L547" s="479"/>
    </row>
    <row r="548" spans="3:12" x14ac:dyDescent="0.25">
      <c r="C548" s="466" t="s">
        <v>497</v>
      </c>
      <c r="D548" s="467"/>
      <c r="E548" s="467"/>
      <c r="F548" s="467"/>
      <c r="G548" s="467"/>
      <c r="H548" s="467"/>
      <c r="I548" s="467"/>
      <c r="J548" s="467"/>
      <c r="K548" s="467"/>
      <c r="L548" s="468"/>
    </row>
    <row r="549" spans="3:12" x14ac:dyDescent="0.25">
      <c r="C549" s="72" t="s">
        <v>66</v>
      </c>
      <c r="D549" s="492" t="s">
        <v>498</v>
      </c>
      <c r="E549" s="492"/>
      <c r="F549" s="492"/>
      <c r="G549" s="492"/>
      <c r="H549" s="492"/>
      <c r="I549" s="73" t="s">
        <v>499</v>
      </c>
      <c r="J549" s="74" t="s">
        <v>500</v>
      </c>
      <c r="K549" s="73" t="s">
        <v>501</v>
      </c>
      <c r="L549" s="70" t="s">
        <v>502</v>
      </c>
    </row>
    <row r="550" spans="3:12" x14ac:dyDescent="0.25">
      <c r="C550" s="75"/>
      <c r="D550" s="460"/>
      <c r="E550" s="499"/>
      <c r="F550" s="499"/>
      <c r="G550" s="499"/>
      <c r="H550" s="461"/>
      <c r="I550" s="76"/>
      <c r="J550" s="76"/>
      <c r="K550" s="77"/>
      <c r="L550" s="78"/>
    </row>
    <row r="551" spans="3:12" x14ac:dyDescent="0.25">
      <c r="C551" s="147" t="s">
        <v>12</v>
      </c>
      <c r="D551" s="493" t="str">
        <f>+EQUIPO!$B$7</f>
        <v>Diferencial</v>
      </c>
      <c r="E551" s="493"/>
      <c r="F551" s="493"/>
      <c r="G551" s="493"/>
      <c r="H551" s="493"/>
      <c r="I551" s="76" t="str">
        <f>+EQUIPO!$C$7</f>
        <v>día</v>
      </c>
      <c r="J551" s="80">
        <v>1</v>
      </c>
      <c r="K551" s="81">
        <f>+EQUIPO!$D$7</f>
        <v>50000</v>
      </c>
      <c r="L551" s="78">
        <f>+K551*J551</f>
        <v>50000</v>
      </c>
    </row>
    <row r="552" spans="3:12" x14ac:dyDescent="0.25">
      <c r="C552" s="79"/>
      <c r="D552" s="493" t="s">
        <v>503</v>
      </c>
      <c r="E552" s="493"/>
      <c r="F552" s="493"/>
      <c r="G552" s="493"/>
      <c r="H552" s="493"/>
      <c r="I552" s="76" t="s">
        <v>61</v>
      </c>
      <c r="J552" s="80">
        <v>1</v>
      </c>
      <c r="K552" s="81">
        <f>L574*0.1</f>
        <v>15799.988001</v>
      </c>
      <c r="L552" s="82">
        <f>K552/J552</f>
        <v>15799.988001</v>
      </c>
    </row>
    <row r="553" spans="3:12" ht="13.5" thickBot="1" x14ac:dyDescent="0.3">
      <c r="C553" s="83"/>
      <c r="D553" s="485" t="s">
        <v>504</v>
      </c>
      <c r="E553" s="485"/>
      <c r="F553" s="485"/>
      <c r="G553" s="485"/>
      <c r="H553" s="485"/>
      <c r="I553" s="485"/>
      <c r="J553" s="485"/>
      <c r="K553" s="485"/>
      <c r="L553" s="84">
        <f>SUM(L550:L552)</f>
        <v>65799.988001000005</v>
      </c>
    </row>
    <row r="554" spans="3:12" ht="13.5" thickBot="1" x14ac:dyDescent="0.3">
      <c r="C554" s="477"/>
      <c r="D554" s="478"/>
      <c r="E554" s="478"/>
      <c r="F554" s="478"/>
      <c r="G554" s="478"/>
      <c r="H554" s="478"/>
      <c r="I554" s="478"/>
      <c r="J554" s="478"/>
      <c r="K554" s="478"/>
      <c r="L554" s="479"/>
    </row>
    <row r="555" spans="3:12" x14ac:dyDescent="0.25">
      <c r="C555" s="466" t="s">
        <v>505</v>
      </c>
      <c r="D555" s="467"/>
      <c r="E555" s="467"/>
      <c r="F555" s="467"/>
      <c r="G555" s="467"/>
      <c r="H555" s="467"/>
      <c r="I555" s="467"/>
      <c r="J555" s="467"/>
      <c r="K555" s="467"/>
      <c r="L555" s="468"/>
    </row>
    <row r="556" spans="3:12" ht="25.5" x14ac:dyDescent="0.25">
      <c r="C556" s="72" t="s">
        <v>66</v>
      </c>
      <c r="D556" s="492" t="s">
        <v>498</v>
      </c>
      <c r="E556" s="492"/>
      <c r="F556" s="492"/>
      <c r="G556" s="492"/>
      <c r="H556" s="73" t="s">
        <v>499</v>
      </c>
      <c r="I556" s="74" t="s">
        <v>506</v>
      </c>
      <c r="J556" s="73" t="s">
        <v>501</v>
      </c>
      <c r="K556" s="85" t="s">
        <v>507</v>
      </c>
      <c r="L556" s="70" t="s">
        <v>502</v>
      </c>
    </row>
    <row r="557" spans="3:12" x14ac:dyDescent="0.25">
      <c r="C557" s="72" t="str">
        <f>+MATERIALES!A293</f>
        <v>MAT-263</v>
      </c>
      <c r="D557" s="498" t="str">
        <f>+MATERIALES!B293</f>
        <v>válvula  D=10" en HD JH</v>
      </c>
      <c r="E557" s="496"/>
      <c r="F557" s="496"/>
      <c r="G557" s="497"/>
      <c r="H557" s="73" t="str">
        <f>+MATERIALES!C293</f>
        <v>und</v>
      </c>
      <c r="I557" s="76">
        <v>1</v>
      </c>
      <c r="J557" s="86">
        <f>+MATERIALES!D293</f>
        <v>4321700</v>
      </c>
      <c r="K557" s="87">
        <v>0</v>
      </c>
      <c r="L557" s="88">
        <f>I557*J557*(1+K557)</f>
        <v>4321700</v>
      </c>
    </row>
    <row r="558" spans="3:12" x14ac:dyDescent="0.25">
      <c r="C558" s="72"/>
      <c r="D558" s="460"/>
      <c r="E558" s="499"/>
      <c r="F558" s="499"/>
      <c r="G558" s="461"/>
      <c r="H558" s="73"/>
      <c r="I558" s="76"/>
      <c r="J558" s="86"/>
      <c r="K558" s="87"/>
      <c r="L558" s="88"/>
    </row>
    <row r="559" spans="3:12" x14ac:dyDescent="0.25">
      <c r="C559" s="90"/>
      <c r="D559" s="500"/>
      <c r="E559" s="500"/>
      <c r="F559" s="500"/>
      <c r="G559" s="500"/>
      <c r="H559" s="97"/>
      <c r="I559" s="91"/>
      <c r="J559" s="92"/>
      <c r="K559" s="93"/>
      <c r="L559" s="82"/>
    </row>
    <row r="560" spans="3:12" ht="13.5" thickBot="1" x14ac:dyDescent="0.3">
      <c r="C560" s="94"/>
      <c r="D560" s="485" t="s">
        <v>508</v>
      </c>
      <c r="E560" s="485"/>
      <c r="F560" s="485"/>
      <c r="G560" s="485"/>
      <c r="H560" s="485"/>
      <c r="I560" s="485"/>
      <c r="J560" s="485"/>
      <c r="K560" s="485"/>
      <c r="L560" s="84">
        <f>SUM(L557:L559)</f>
        <v>4321700</v>
      </c>
    </row>
    <row r="561" spans="3:15" ht="13.5" thickBot="1" x14ac:dyDescent="0.3">
      <c r="C561" s="486"/>
      <c r="D561" s="487"/>
      <c r="E561" s="487"/>
      <c r="F561" s="487"/>
      <c r="G561" s="487"/>
      <c r="H561" s="487"/>
      <c r="I561" s="487"/>
      <c r="J561" s="487"/>
      <c r="K561" s="487"/>
      <c r="L561" s="488"/>
    </row>
    <row r="562" spans="3:15" x14ac:dyDescent="0.25">
      <c r="C562" s="466" t="s">
        <v>509</v>
      </c>
      <c r="D562" s="467"/>
      <c r="E562" s="467"/>
      <c r="F562" s="467"/>
      <c r="G562" s="467"/>
      <c r="H562" s="467"/>
      <c r="I562" s="467"/>
      <c r="J562" s="467"/>
      <c r="K562" s="467"/>
      <c r="L562" s="468"/>
    </row>
    <row r="563" spans="3:15" x14ac:dyDescent="0.25">
      <c r="C563" s="72" t="s">
        <v>66</v>
      </c>
      <c r="D563" s="492" t="s">
        <v>498</v>
      </c>
      <c r="E563" s="492"/>
      <c r="F563" s="492"/>
      <c r="G563" s="492"/>
      <c r="H563" s="73" t="s">
        <v>506</v>
      </c>
      <c r="I563" s="73" t="s">
        <v>499</v>
      </c>
      <c r="J563" s="74" t="s">
        <v>510</v>
      </c>
      <c r="K563" s="85" t="s">
        <v>511</v>
      </c>
      <c r="L563" s="70" t="s">
        <v>502</v>
      </c>
    </row>
    <row r="564" spans="3:15" x14ac:dyDescent="0.25">
      <c r="C564" s="90"/>
      <c r="D564" s="494"/>
      <c r="E564" s="494"/>
      <c r="F564" s="494"/>
      <c r="G564" s="494"/>
      <c r="H564" s="76"/>
      <c r="I564" s="97"/>
      <c r="J564" s="97"/>
      <c r="K564" s="95"/>
      <c r="L564" s="96"/>
      <c r="O564" s="119">
        <f>4545500-(L574+L553)</f>
        <v>4321700.1319890004</v>
      </c>
    </row>
    <row r="565" spans="3:15" x14ac:dyDescent="0.25">
      <c r="C565" s="90"/>
      <c r="D565" s="495"/>
      <c r="E565" s="495"/>
      <c r="F565" s="495"/>
      <c r="G565" s="495"/>
      <c r="H565" s="76"/>
      <c r="I565" s="97"/>
      <c r="J565" s="97"/>
      <c r="K565" s="95"/>
      <c r="L565" s="96"/>
    </row>
    <row r="566" spans="3:15" x14ac:dyDescent="0.25">
      <c r="C566" s="90"/>
      <c r="D566" s="495"/>
      <c r="E566" s="495"/>
      <c r="F566" s="495"/>
      <c r="G566" s="495"/>
      <c r="H566" s="76"/>
      <c r="I566" s="97"/>
      <c r="J566" s="97"/>
      <c r="K566" s="95"/>
      <c r="L566" s="96"/>
    </row>
    <row r="567" spans="3:15" ht="13.5" thickBot="1" x14ac:dyDescent="0.3">
      <c r="C567" s="83"/>
      <c r="D567" s="485" t="s">
        <v>512</v>
      </c>
      <c r="E567" s="485"/>
      <c r="F567" s="485"/>
      <c r="G567" s="485"/>
      <c r="H567" s="485"/>
      <c r="I567" s="485"/>
      <c r="J567" s="485"/>
      <c r="K567" s="485"/>
      <c r="L567" s="98">
        <f>L564</f>
        <v>0</v>
      </c>
    </row>
    <row r="568" spans="3:15" ht="13.5" thickBot="1" x14ac:dyDescent="0.3">
      <c r="C568" s="477"/>
      <c r="D568" s="478"/>
      <c r="E568" s="478"/>
      <c r="F568" s="478"/>
      <c r="G568" s="478"/>
      <c r="H568" s="478"/>
      <c r="I568" s="478"/>
      <c r="J568" s="478"/>
      <c r="K568" s="478"/>
      <c r="L568" s="479"/>
    </row>
    <row r="569" spans="3:15" x14ac:dyDescent="0.25">
      <c r="C569" s="466" t="s">
        <v>513</v>
      </c>
      <c r="D569" s="467"/>
      <c r="E569" s="467"/>
      <c r="F569" s="467"/>
      <c r="G569" s="467"/>
      <c r="H569" s="467"/>
      <c r="I569" s="467"/>
      <c r="J569" s="467"/>
      <c r="K569" s="467"/>
      <c r="L569" s="468"/>
    </row>
    <row r="570" spans="3:15" x14ac:dyDescent="0.25">
      <c r="C570" s="72" t="s">
        <v>66</v>
      </c>
      <c r="D570" s="492" t="s">
        <v>498</v>
      </c>
      <c r="E570" s="492"/>
      <c r="F570" s="85" t="s">
        <v>499</v>
      </c>
      <c r="G570" s="85" t="s">
        <v>506</v>
      </c>
      <c r="H570" s="73" t="s">
        <v>514</v>
      </c>
      <c r="I570" s="99" t="s">
        <v>515</v>
      </c>
      <c r="J570" s="85" t="s">
        <v>516</v>
      </c>
      <c r="K570" s="99" t="s">
        <v>517</v>
      </c>
      <c r="L570" s="100" t="s">
        <v>502</v>
      </c>
    </row>
    <row r="571" spans="3:15" x14ac:dyDescent="0.25">
      <c r="C571" s="79" t="s">
        <v>519</v>
      </c>
      <c r="D571" s="460" t="str">
        <f>'MANO DE OBRA'!$B$3</f>
        <v>Ayudante</v>
      </c>
      <c r="E571" s="461"/>
      <c r="F571" s="97" t="str">
        <f>'MANO DE OBRA'!$C$2</f>
        <v>DIA</v>
      </c>
      <c r="G571" s="76">
        <v>3</v>
      </c>
      <c r="H571" s="101">
        <f>'MANO DE OBRA'!$D$3</f>
        <v>28981.77</v>
      </c>
      <c r="I571" s="102">
        <v>0.75649999999999995</v>
      </c>
      <c r="J571" s="103">
        <f>(H571+(H571*I571))</f>
        <v>50906.479005000001</v>
      </c>
      <c r="K571" s="76">
        <v>1.5</v>
      </c>
      <c r="L571" s="96">
        <f>G571*(J571/K571)</f>
        <v>101812.95801</v>
      </c>
    </row>
    <row r="572" spans="3:15" x14ac:dyDescent="0.25">
      <c r="C572" s="79" t="s">
        <v>526</v>
      </c>
      <c r="D572" s="460" t="str">
        <f>'MANO DE OBRA'!$B$2</f>
        <v>Oficial</v>
      </c>
      <c r="E572" s="461"/>
      <c r="F572" s="97" t="str">
        <f>'MANO DE OBRA'!$C$3</f>
        <v>DIA</v>
      </c>
      <c r="G572" s="76">
        <v>1</v>
      </c>
      <c r="H572" s="101">
        <f>'MANO DE OBRA'!$D$2</f>
        <v>47982</v>
      </c>
      <c r="I572" s="102">
        <v>0.75649999999999995</v>
      </c>
      <c r="J572" s="103">
        <f>(H572+(H572*I572))</f>
        <v>84280.383000000002</v>
      </c>
      <c r="K572" s="76">
        <v>1.5</v>
      </c>
      <c r="L572" s="96">
        <f>G572*(J572/K572)</f>
        <v>56186.921999999999</v>
      </c>
    </row>
    <row r="573" spans="3:15" x14ac:dyDescent="0.25">
      <c r="C573" s="90"/>
      <c r="D573" s="493"/>
      <c r="E573" s="493"/>
      <c r="F573" s="97"/>
      <c r="G573" s="76"/>
      <c r="H573" s="101"/>
      <c r="I573" s="102"/>
      <c r="J573" s="103"/>
      <c r="K573" s="76"/>
      <c r="L573" s="96"/>
    </row>
    <row r="574" spans="3:15" ht="13.5" thickBot="1" x14ac:dyDescent="0.3">
      <c r="C574" s="83"/>
      <c r="D574" s="485" t="s">
        <v>520</v>
      </c>
      <c r="E574" s="485"/>
      <c r="F574" s="485"/>
      <c r="G574" s="485"/>
      <c r="H574" s="485"/>
      <c r="I574" s="485"/>
      <c r="J574" s="485"/>
      <c r="K574" s="485"/>
      <c r="L574" s="98">
        <f>L572+L571</f>
        <v>157999.88000999999</v>
      </c>
    </row>
    <row r="575" spans="3:15" ht="13.5" thickBot="1" x14ac:dyDescent="0.3">
      <c r="C575" s="486"/>
      <c r="D575" s="487"/>
      <c r="E575" s="487"/>
      <c r="F575" s="487"/>
      <c r="G575" s="487"/>
      <c r="H575" s="487"/>
      <c r="I575" s="487"/>
      <c r="J575" s="487"/>
      <c r="K575" s="487"/>
      <c r="L575" s="488"/>
    </row>
    <row r="576" spans="3:15" ht="13.5" thickBot="1" x14ac:dyDescent="0.3">
      <c r="C576" s="489" t="s">
        <v>521</v>
      </c>
      <c r="D576" s="490"/>
      <c r="E576" s="490"/>
      <c r="F576" s="490"/>
      <c r="G576" s="490"/>
      <c r="H576" s="490"/>
      <c r="I576" s="490"/>
      <c r="J576" s="491"/>
      <c r="K576" s="145">
        <f>ROUND(L574+L567+L560+L553,0)</f>
        <v>4545500</v>
      </c>
      <c r="L576" s="146"/>
    </row>
    <row r="578" spans="3:12" ht="13.5" thickBot="1" x14ac:dyDescent="0.3"/>
    <row r="579" spans="3:12" x14ac:dyDescent="0.25">
      <c r="C579" s="466" t="s">
        <v>495</v>
      </c>
      <c r="D579" s="467"/>
      <c r="E579" s="467"/>
      <c r="F579" s="467"/>
      <c r="G579" s="467"/>
      <c r="H579" s="467"/>
      <c r="I579" s="467"/>
      <c r="J579" s="467"/>
      <c r="K579" s="467"/>
      <c r="L579" s="468"/>
    </row>
    <row r="580" spans="3:12" ht="12.75" customHeight="1" x14ac:dyDescent="0.25">
      <c r="C580" s="469" t="str">
        <f>+PPTO!$A$2</f>
        <v>REPOSICION E INSTALACION VALVULAS DE SECTORIZACION EN DIFERENTES SECTORES DEL MUNICIPIO DE PIEDECUESTA - SANTANDER.</v>
      </c>
      <c r="D580" s="470"/>
      <c r="E580" s="470"/>
      <c r="F580" s="470"/>
      <c r="G580" s="470"/>
      <c r="H580" s="470"/>
      <c r="I580" s="470"/>
      <c r="J580" s="470"/>
      <c r="K580" s="470"/>
      <c r="L580" s="471"/>
    </row>
    <row r="581" spans="3:12" x14ac:dyDescent="0.25">
      <c r="C581" s="472" t="s">
        <v>496</v>
      </c>
      <c r="D581" s="141">
        <f>+PPTO!$A$20</f>
        <v>4</v>
      </c>
      <c r="E581" s="474" t="str">
        <f>+PPTO!$B$20</f>
        <v>SUMINISTRO E INSTALACION DE TUBERIAS Y ACCESORIOS.</v>
      </c>
      <c r="F581" s="475"/>
      <c r="G581" s="475"/>
      <c r="H581" s="475"/>
      <c r="I581" s="475"/>
      <c r="J581" s="475"/>
      <c r="K581" s="475"/>
      <c r="L581" s="70" t="s">
        <v>52</v>
      </c>
    </row>
    <row r="582" spans="3:12" ht="13.5" thickBot="1" x14ac:dyDescent="0.3">
      <c r="C582" s="473"/>
      <c r="D582" s="120">
        <f>+PPTO!A27</f>
        <v>4.07</v>
      </c>
      <c r="E582" s="476" t="str">
        <f>+PPTO!B27</f>
        <v>Suministro e instalación de válvula  D=12" en HD JH</v>
      </c>
      <c r="F582" s="476"/>
      <c r="G582" s="476"/>
      <c r="H582" s="476"/>
      <c r="I582" s="476"/>
      <c r="J582" s="476"/>
      <c r="K582" s="476"/>
      <c r="L582" s="71" t="str">
        <f>+PPTO!C27</f>
        <v>UND</v>
      </c>
    </row>
    <row r="583" spans="3:12" ht="13.5" thickBot="1" x14ac:dyDescent="0.3">
      <c r="C583" s="477"/>
      <c r="D583" s="478"/>
      <c r="E583" s="478"/>
      <c r="F583" s="478"/>
      <c r="G583" s="478"/>
      <c r="H583" s="478"/>
      <c r="I583" s="478"/>
      <c r="J583" s="478"/>
      <c r="K583" s="478"/>
      <c r="L583" s="479"/>
    </row>
    <row r="584" spans="3:12" x14ac:dyDescent="0.25">
      <c r="C584" s="466" t="s">
        <v>497</v>
      </c>
      <c r="D584" s="467"/>
      <c r="E584" s="467"/>
      <c r="F584" s="467"/>
      <c r="G584" s="467"/>
      <c r="H584" s="467"/>
      <c r="I584" s="467"/>
      <c r="J584" s="467"/>
      <c r="K584" s="467"/>
      <c r="L584" s="468"/>
    </row>
    <row r="585" spans="3:12" x14ac:dyDescent="0.25">
      <c r="C585" s="72" t="s">
        <v>66</v>
      </c>
      <c r="D585" s="492" t="s">
        <v>498</v>
      </c>
      <c r="E585" s="492"/>
      <c r="F585" s="492"/>
      <c r="G585" s="492"/>
      <c r="H585" s="492"/>
      <c r="I585" s="73" t="s">
        <v>499</v>
      </c>
      <c r="J585" s="74" t="s">
        <v>500</v>
      </c>
      <c r="K585" s="73" t="s">
        <v>501</v>
      </c>
      <c r="L585" s="70" t="s">
        <v>502</v>
      </c>
    </row>
    <row r="586" spans="3:12" x14ac:dyDescent="0.25">
      <c r="C586" s="75"/>
      <c r="D586" s="460"/>
      <c r="E586" s="499"/>
      <c r="F586" s="499"/>
      <c r="G586" s="499"/>
      <c r="H586" s="461"/>
      <c r="I586" s="76"/>
      <c r="J586" s="76"/>
      <c r="K586" s="77"/>
      <c r="L586" s="78"/>
    </row>
    <row r="587" spans="3:12" x14ac:dyDescent="0.25">
      <c r="C587" s="147" t="s">
        <v>12</v>
      </c>
      <c r="D587" s="493" t="str">
        <f>+EQUIPO!$B$7</f>
        <v>Diferencial</v>
      </c>
      <c r="E587" s="493"/>
      <c r="F587" s="493"/>
      <c r="G587" s="493"/>
      <c r="H587" s="493"/>
      <c r="I587" s="76" t="str">
        <f>+EQUIPO!$C$7</f>
        <v>día</v>
      </c>
      <c r="J587" s="80">
        <v>1</v>
      </c>
      <c r="K587" s="81">
        <f>+EQUIPO!$D$7</f>
        <v>50000</v>
      </c>
      <c r="L587" s="78">
        <f>+K587*J587</f>
        <v>50000</v>
      </c>
    </row>
    <row r="588" spans="3:12" x14ac:dyDescent="0.25">
      <c r="C588" s="79"/>
      <c r="D588" s="493" t="s">
        <v>503</v>
      </c>
      <c r="E588" s="493"/>
      <c r="F588" s="493"/>
      <c r="G588" s="493"/>
      <c r="H588" s="493"/>
      <c r="I588" s="76" t="s">
        <v>61</v>
      </c>
      <c r="J588" s="80">
        <v>1</v>
      </c>
      <c r="K588" s="81">
        <f>L610*0.1</f>
        <v>23699.9820015</v>
      </c>
      <c r="L588" s="82">
        <f>K588/J588</f>
        <v>23699.9820015</v>
      </c>
    </row>
    <row r="589" spans="3:12" ht="13.5" thickBot="1" x14ac:dyDescent="0.3">
      <c r="C589" s="83"/>
      <c r="D589" s="485" t="s">
        <v>504</v>
      </c>
      <c r="E589" s="485"/>
      <c r="F589" s="485"/>
      <c r="G589" s="485"/>
      <c r="H589" s="485"/>
      <c r="I589" s="485"/>
      <c r="J589" s="485"/>
      <c r="K589" s="485"/>
      <c r="L589" s="84">
        <f>SUM(L586:L588)</f>
        <v>73699.9820015</v>
      </c>
    </row>
    <row r="590" spans="3:12" ht="13.5" thickBot="1" x14ac:dyDescent="0.3">
      <c r="C590" s="477"/>
      <c r="D590" s="478"/>
      <c r="E590" s="478"/>
      <c r="F590" s="478"/>
      <c r="G590" s="478"/>
      <c r="H590" s="478"/>
      <c r="I590" s="478"/>
      <c r="J590" s="478"/>
      <c r="K590" s="478"/>
      <c r="L590" s="479"/>
    </row>
    <row r="591" spans="3:12" x14ac:dyDescent="0.25">
      <c r="C591" s="466" t="s">
        <v>505</v>
      </c>
      <c r="D591" s="467"/>
      <c r="E591" s="467"/>
      <c r="F591" s="467"/>
      <c r="G591" s="467"/>
      <c r="H591" s="467"/>
      <c r="I591" s="467"/>
      <c r="J591" s="467"/>
      <c r="K591" s="467"/>
      <c r="L591" s="468"/>
    </row>
    <row r="592" spans="3:12" ht="25.5" x14ac:dyDescent="0.25">
      <c r="C592" s="72" t="s">
        <v>66</v>
      </c>
      <c r="D592" s="492" t="s">
        <v>498</v>
      </c>
      <c r="E592" s="492"/>
      <c r="F592" s="492"/>
      <c r="G592" s="492"/>
      <c r="H592" s="73" t="s">
        <v>499</v>
      </c>
      <c r="I592" s="74" t="s">
        <v>506</v>
      </c>
      <c r="J592" s="73" t="s">
        <v>501</v>
      </c>
      <c r="K592" s="85" t="s">
        <v>507</v>
      </c>
      <c r="L592" s="70" t="s">
        <v>502</v>
      </c>
    </row>
    <row r="593" spans="3:15" x14ac:dyDescent="0.25">
      <c r="C593" s="72" t="str">
        <f>+MATERIALES!A294</f>
        <v>MAT-264</v>
      </c>
      <c r="D593" s="498" t="str">
        <f>+MATERIALES!B294</f>
        <v>válvula  D=12" en HD JH</v>
      </c>
      <c r="E593" s="496"/>
      <c r="F593" s="496"/>
      <c r="G593" s="497"/>
      <c r="H593" s="73" t="str">
        <f>+MATERIALES!C294</f>
        <v>und</v>
      </c>
      <c r="I593" s="76">
        <v>1</v>
      </c>
      <c r="J593" s="86">
        <f>+MATERIALES!D294</f>
        <v>5100600</v>
      </c>
      <c r="K593" s="87">
        <v>0</v>
      </c>
      <c r="L593" s="88">
        <f>I593*J593*(1+K593)</f>
        <v>5100600</v>
      </c>
    </row>
    <row r="594" spans="3:15" x14ac:dyDescent="0.25">
      <c r="C594" s="72"/>
      <c r="D594" s="460"/>
      <c r="E594" s="499"/>
      <c r="F594" s="499"/>
      <c r="G594" s="461"/>
      <c r="H594" s="73"/>
      <c r="I594" s="76"/>
      <c r="J594" s="86"/>
      <c r="K594" s="87"/>
      <c r="L594" s="88"/>
    </row>
    <row r="595" spans="3:15" x14ac:dyDescent="0.25">
      <c r="C595" s="90"/>
      <c r="D595" s="500"/>
      <c r="E595" s="500"/>
      <c r="F595" s="500"/>
      <c r="G595" s="500"/>
      <c r="H595" s="97"/>
      <c r="I595" s="91"/>
      <c r="J595" s="92"/>
      <c r="K595" s="93"/>
      <c r="L595" s="82"/>
    </row>
    <row r="596" spans="3:15" ht="13.5" thickBot="1" x14ac:dyDescent="0.3">
      <c r="C596" s="94"/>
      <c r="D596" s="485" t="s">
        <v>508</v>
      </c>
      <c r="E596" s="485"/>
      <c r="F596" s="485"/>
      <c r="G596" s="485"/>
      <c r="H596" s="485"/>
      <c r="I596" s="485"/>
      <c r="J596" s="485"/>
      <c r="K596" s="485"/>
      <c r="L596" s="84">
        <f>SUM(L593:L595)</f>
        <v>5100600</v>
      </c>
    </row>
    <row r="597" spans="3:15" ht="13.5" thickBot="1" x14ac:dyDescent="0.3">
      <c r="C597" s="486"/>
      <c r="D597" s="487"/>
      <c r="E597" s="487"/>
      <c r="F597" s="487"/>
      <c r="G597" s="487"/>
      <c r="H597" s="487"/>
      <c r="I597" s="487"/>
      <c r="J597" s="487"/>
      <c r="K597" s="487"/>
      <c r="L597" s="488"/>
    </row>
    <row r="598" spans="3:15" x14ac:dyDescent="0.25">
      <c r="C598" s="466" t="s">
        <v>509</v>
      </c>
      <c r="D598" s="467"/>
      <c r="E598" s="467"/>
      <c r="F598" s="467"/>
      <c r="G598" s="467"/>
      <c r="H598" s="467"/>
      <c r="I598" s="467"/>
      <c r="J598" s="467"/>
      <c r="K598" s="467"/>
      <c r="L598" s="468"/>
    </row>
    <row r="599" spans="3:15" x14ac:dyDescent="0.25">
      <c r="C599" s="72" t="s">
        <v>66</v>
      </c>
      <c r="D599" s="492" t="s">
        <v>498</v>
      </c>
      <c r="E599" s="492"/>
      <c r="F599" s="492"/>
      <c r="G599" s="492"/>
      <c r="H599" s="73" t="s">
        <v>506</v>
      </c>
      <c r="I599" s="73" t="s">
        <v>499</v>
      </c>
      <c r="J599" s="74" t="s">
        <v>510</v>
      </c>
      <c r="K599" s="85" t="s">
        <v>511</v>
      </c>
      <c r="L599" s="70" t="s">
        <v>502</v>
      </c>
    </row>
    <row r="600" spans="3:15" x14ac:dyDescent="0.25">
      <c r="C600" s="90"/>
      <c r="D600" s="494"/>
      <c r="E600" s="494"/>
      <c r="F600" s="494"/>
      <c r="G600" s="494"/>
      <c r="H600" s="76"/>
      <c r="I600" s="97"/>
      <c r="J600" s="97"/>
      <c r="K600" s="95"/>
      <c r="L600" s="96"/>
      <c r="O600" s="119"/>
    </row>
    <row r="601" spans="3:15" x14ac:dyDescent="0.25">
      <c r="C601" s="90"/>
      <c r="D601" s="495"/>
      <c r="E601" s="495"/>
      <c r="F601" s="495"/>
      <c r="G601" s="495"/>
      <c r="H601" s="76"/>
      <c r="I601" s="97"/>
      <c r="J601" s="97"/>
      <c r="K601" s="95"/>
      <c r="L601" s="96"/>
    </row>
    <row r="602" spans="3:15" x14ac:dyDescent="0.25">
      <c r="C602" s="90"/>
      <c r="D602" s="495"/>
      <c r="E602" s="495"/>
      <c r="F602" s="495"/>
      <c r="G602" s="495"/>
      <c r="H602" s="76"/>
      <c r="I602" s="97"/>
      <c r="J602" s="97"/>
      <c r="K602" s="95"/>
      <c r="L602" s="96"/>
    </row>
    <row r="603" spans="3:15" ht="13.5" thickBot="1" x14ac:dyDescent="0.3">
      <c r="C603" s="83"/>
      <c r="D603" s="485" t="s">
        <v>512</v>
      </c>
      <c r="E603" s="485"/>
      <c r="F603" s="485"/>
      <c r="G603" s="485"/>
      <c r="H603" s="485"/>
      <c r="I603" s="485"/>
      <c r="J603" s="485"/>
      <c r="K603" s="485"/>
      <c r="L603" s="98">
        <f>L600</f>
        <v>0</v>
      </c>
    </row>
    <row r="604" spans="3:15" ht="13.5" thickBot="1" x14ac:dyDescent="0.3">
      <c r="C604" s="477"/>
      <c r="D604" s="478"/>
      <c r="E604" s="478"/>
      <c r="F604" s="478"/>
      <c r="G604" s="478"/>
      <c r="H604" s="478"/>
      <c r="I604" s="478"/>
      <c r="J604" s="478"/>
      <c r="K604" s="478"/>
      <c r="L604" s="479"/>
    </row>
    <row r="605" spans="3:15" x14ac:dyDescent="0.25">
      <c r="C605" s="466" t="s">
        <v>513</v>
      </c>
      <c r="D605" s="467"/>
      <c r="E605" s="467"/>
      <c r="F605" s="467"/>
      <c r="G605" s="467"/>
      <c r="H605" s="467"/>
      <c r="I605" s="467"/>
      <c r="J605" s="467"/>
      <c r="K605" s="467"/>
      <c r="L605" s="468"/>
    </row>
    <row r="606" spans="3:15" x14ac:dyDescent="0.25">
      <c r="C606" s="72" t="s">
        <v>66</v>
      </c>
      <c r="D606" s="492" t="s">
        <v>498</v>
      </c>
      <c r="E606" s="492"/>
      <c r="F606" s="85" t="s">
        <v>499</v>
      </c>
      <c r="G606" s="85" t="s">
        <v>506</v>
      </c>
      <c r="H606" s="73" t="s">
        <v>514</v>
      </c>
      <c r="I606" s="99" t="s">
        <v>515</v>
      </c>
      <c r="J606" s="85" t="s">
        <v>516</v>
      </c>
      <c r="K606" s="99" t="s">
        <v>517</v>
      </c>
      <c r="L606" s="100" t="s">
        <v>502</v>
      </c>
    </row>
    <row r="607" spans="3:15" x14ac:dyDescent="0.25">
      <c r="C607" s="79" t="s">
        <v>519</v>
      </c>
      <c r="D607" s="460" t="str">
        <f>'MANO DE OBRA'!$B$3</f>
        <v>Ayudante</v>
      </c>
      <c r="E607" s="461"/>
      <c r="F607" s="97" t="str">
        <f>'MANO DE OBRA'!$C$2</f>
        <v>DIA</v>
      </c>
      <c r="G607" s="76">
        <v>3</v>
      </c>
      <c r="H607" s="101">
        <f>'MANO DE OBRA'!$D$3</f>
        <v>28981.77</v>
      </c>
      <c r="I607" s="102">
        <v>0.75649999999999995</v>
      </c>
      <c r="J607" s="103">
        <f>(H607+(H607*I607))</f>
        <v>50906.479005000001</v>
      </c>
      <c r="K607" s="76">
        <v>1</v>
      </c>
      <c r="L607" s="96">
        <f>G607*(J607/K607)</f>
        <v>152719.437015</v>
      </c>
    </row>
    <row r="608" spans="3:15" x14ac:dyDescent="0.25">
      <c r="C608" s="79" t="s">
        <v>526</v>
      </c>
      <c r="D608" s="460" t="str">
        <f>'MANO DE OBRA'!$B$2</f>
        <v>Oficial</v>
      </c>
      <c r="E608" s="461"/>
      <c r="F608" s="97" t="str">
        <f>'MANO DE OBRA'!$C$3</f>
        <v>DIA</v>
      </c>
      <c r="G608" s="76">
        <v>1</v>
      </c>
      <c r="H608" s="101">
        <f>'MANO DE OBRA'!$D$2</f>
        <v>47982</v>
      </c>
      <c r="I608" s="102">
        <v>0.75649999999999995</v>
      </c>
      <c r="J608" s="103">
        <f>(H608+(H608*I608))</f>
        <v>84280.383000000002</v>
      </c>
      <c r="K608" s="76">
        <v>1</v>
      </c>
      <c r="L608" s="96">
        <f>G608*(J608/K608)</f>
        <v>84280.383000000002</v>
      </c>
    </row>
    <row r="609" spans="3:12" x14ac:dyDescent="0.25">
      <c r="C609" s="90"/>
      <c r="D609" s="493"/>
      <c r="E609" s="493"/>
      <c r="F609" s="97"/>
      <c r="G609" s="76"/>
      <c r="H609" s="101"/>
      <c r="I609" s="102"/>
      <c r="J609" s="103"/>
      <c r="K609" s="76"/>
      <c r="L609" s="96"/>
    </row>
    <row r="610" spans="3:12" ht="13.5" thickBot="1" x14ac:dyDescent="0.3">
      <c r="C610" s="83"/>
      <c r="D610" s="485" t="s">
        <v>520</v>
      </c>
      <c r="E610" s="485"/>
      <c r="F610" s="485"/>
      <c r="G610" s="485"/>
      <c r="H610" s="485"/>
      <c r="I610" s="485"/>
      <c r="J610" s="485"/>
      <c r="K610" s="485"/>
      <c r="L610" s="98">
        <f>L608+L607</f>
        <v>236999.820015</v>
      </c>
    </row>
    <row r="611" spans="3:12" ht="13.5" thickBot="1" x14ac:dyDescent="0.3">
      <c r="C611" s="486"/>
      <c r="D611" s="487"/>
      <c r="E611" s="487"/>
      <c r="F611" s="487"/>
      <c r="G611" s="487"/>
      <c r="H611" s="487"/>
      <c r="I611" s="487"/>
      <c r="J611" s="487"/>
      <c r="K611" s="487"/>
      <c r="L611" s="488"/>
    </row>
    <row r="612" spans="3:12" ht="13.5" thickBot="1" x14ac:dyDescent="0.3">
      <c r="C612" s="489" t="s">
        <v>521</v>
      </c>
      <c r="D612" s="490"/>
      <c r="E612" s="490"/>
      <c r="F612" s="490"/>
      <c r="G612" s="490"/>
      <c r="H612" s="490"/>
      <c r="I612" s="490"/>
      <c r="J612" s="491"/>
      <c r="K612" s="145">
        <f>ROUND(L610+L603+L596+L589,0)</f>
        <v>5411300</v>
      </c>
      <c r="L612" s="146"/>
    </row>
    <row r="614" spans="3:12" ht="13.5" thickBot="1" x14ac:dyDescent="0.3"/>
    <row r="615" spans="3:12" x14ac:dyDescent="0.25">
      <c r="C615" s="466" t="s">
        <v>495</v>
      </c>
      <c r="D615" s="467"/>
      <c r="E615" s="467"/>
      <c r="F615" s="467"/>
      <c r="G615" s="467"/>
      <c r="H615" s="467"/>
      <c r="I615" s="467"/>
      <c r="J615" s="467"/>
      <c r="K615" s="467"/>
      <c r="L615" s="468"/>
    </row>
    <row r="616" spans="3:12" x14ac:dyDescent="0.25">
      <c r="C616" s="469" t="str">
        <f>+PPTO!$A$2</f>
        <v>REPOSICION E INSTALACION VALVULAS DE SECTORIZACION EN DIFERENTES SECTORES DEL MUNICIPIO DE PIEDECUESTA - SANTANDER.</v>
      </c>
      <c r="D616" s="470"/>
      <c r="E616" s="470"/>
      <c r="F616" s="470"/>
      <c r="G616" s="470"/>
      <c r="H616" s="470"/>
      <c r="I616" s="470"/>
      <c r="J616" s="470"/>
      <c r="K616" s="470"/>
      <c r="L616" s="471"/>
    </row>
    <row r="617" spans="3:12" x14ac:dyDescent="0.25">
      <c r="C617" s="472" t="s">
        <v>496</v>
      </c>
      <c r="D617" s="141">
        <f>+PPTO!$A$20</f>
        <v>4</v>
      </c>
      <c r="E617" s="474" t="str">
        <f>+PPTO!$B$20</f>
        <v>SUMINISTRO E INSTALACION DE TUBERIAS Y ACCESORIOS.</v>
      </c>
      <c r="F617" s="475"/>
      <c r="G617" s="475"/>
      <c r="H617" s="475"/>
      <c r="I617" s="475"/>
      <c r="J617" s="475"/>
      <c r="K617" s="475"/>
      <c r="L617" s="70" t="s">
        <v>52</v>
      </c>
    </row>
    <row r="618" spans="3:12" ht="13.5" thickBot="1" x14ac:dyDescent="0.3">
      <c r="C618" s="473"/>
      <c r="D618" s="120">
        <f>+PPTO!A28</f>
        <v>4.08</v>
      </c>
      <c r="E618" s="476" t="str">
        <f>+PPTO!B28</f>
        <v xml:space="preserve">Suministro e instalación unión rápida  D=3" </v>
      </c>
      <c r="F618" s="476"/>
      <c r="G618" s="476"/>
      <c r="H618" s="476"/>
      <c r="I618" s="476"/>
      <c r="J618" s="476"/>
      <c r="K618" s="476"/>
      <c r="L618" s="71" t="str">
        <f>+PPTO!C28</f>
        <v>UND</v>
      </c>
    </row>
    <row r="619" spans="3:12" ht="13.5" thickBot="1" x14ac:dyDescent="0.3">
      <c r="C619" s="477"/>
      <c r="D619" s="478"/>
      <c r="E619" s="478"/>
      <c r="F619" s="478"/>
      <c r="G619" s="478"/>
      <c r="H619" s="478"/>
      <c r="I619" s="478"/>
      <c r="J619" s="478"/>
      <c r="K619" s="478"/>
      <c r="L619" s="479"/>
    </row>
    <row r="620" spans="3:12" x14ac:dyDescent="0.25">
      <c r="C620" s="466" t="s">
        <v>497</v>
      </c>
      <c r="D620" s="467"/>
      <c r="E620" s="467"/>
      <c r="F620" s="467"/>
      <c r="G620" s="467"/>
      <c r="H620" s="467"/>
      <c r="I620" s="467"/>
      <c r="J620" s="467"/>
      <c r="K620" s="467"/>
      <c r="L620" s="468"/>
    </row>
    <row r="621" spans="3:12" x14ac:dyDescent="0.25">
      <c r="C621" s="72" t="s">
        <v>66</v>
      </c>
      <c r="D621" s="492" t="s">
        <v>498</v>
      </c>
      <c r="E621" s="492"/>
      <c r="F621" s="492"/>
      <c r="G621" s="492"/>
      <c r="H621" s="492"/>
      <c r="I621" s="73" t="s">
        <v>499</v>
      </c>
      <c r="J621" s="74" t="s">
        <v>500</v>
      </c>
      <c r="K621" s="73" t="s">
        <v>501</v>
      </c>
      <c r="L621" s="70" t="s">
        <v>502</v>
      </c>
    </row>
    <row r="622" spans="3:12" x14ac:dyDescent="0.25">
      <c r="C622" s="75"/>
      <c r="D622" s="460"/>
      <c r="E622" s="499"/>
      <c r="F622" s="499"/>
      <c r="G622" s="499"/>
      <c r="H622" s="461"/>
      <c r="I622" s="76"/>
      <c r="J622" s="76"/>
      <c r="K622" s="77"/>
      <c r="L622" s="78"/>
    </row>
    <row r="623" spans="3:12" x14ac:dyDescent="0.25">
      <c r="C623" s="75"/>
      <c r="D623" s="493"/>
      <c r="E623" s="493"/>
      <c r="F623" s="493"/>
      <c r="G623" s="493"/>
      <c r="H623" s="493"/>
      <c r="I623" s="76"/>
      <c r="J623" s="80"/>
      <c r="K623" s="81"/>
      <c r="L623" s="78"/>
    </row>
    <row r="624" spans="3:12" x14ac:dyDescent="0.25">
      <c r="C624" s="79"/>
      <c r="D624" s="493" t="s">
        <v>503</v>
      </c>
      <c r="E624" s="493"/>
      <c r="F624" s="493"/>
      <c r="G624" s="493"/>
      <c r="H624" s="493"/>
      <c r="I624" s="76" t="s">
        <v>61</v>
      </c>
      <c r="J624" s="80">
        <v>1</v>
      </c>
      <c r="K624" s="81">
        <f>L647*0.1</f>
        <v>1018.1295801000001</v>
      </c>
      <c r="L624" s="82">
        <f>K624/J624</f>
        <v>1018.1295801000001</v>
      </c>
    </row>
    <row r="625" spans="3:15" ht="13.5" thickBot="1" x14ac:dyDescent="0.3">
      <c r="C625" s="83"/>
      <c r="D625" s="485" t="s">
        <v>504</v>
      </c>
      <c r="E625" s="485"/>
      <c r="F625" s="485"/>
      <c r="G625" s="485"/>
      <c r="H625" s="485"/>
      <c r="I625" s="485"/>
      <c r="J625" s="485"/>
      <c r="K625" s="485"/>
      <c r="L625" s="84">
        <f>SUM(L622:L624)</f>
        <v>1018.1295801000001</v>
      </c>
    </row>
    <row r="626" spans="3:15" ht="13.5" thickBot="1" x14ac:dyDescent="0.3">
      <c r="C626" s="477"/>
      <c r="D626" s="478"/>
      <c r="E626" s="478"/>
      <c r="F626" s="478"/>
      <c r="G626" s="478"/>
      <c r="H626" s="478"/>
      <c r="I626" s="478"/>
      <c r="J626" s="478"/>
      <c r="K626" s="478"/>
      <c r="L626" s="479"/>
    </row>
    <row r="627" spans="3:15" x14ac:dyDescent="0.25">
      <c r="C627" s="466" t="s">
        <v>505</v>
      </c>
      <c r="D627" s="467"/>
      <c r="E627" s="467"/>
      <c r="F627" s="467"/>
      <c r="G627" s="467"/>
      <c r="H627" s="467"/>
      <c r="I627" s="467"/>
      <c r="J627" s="467"/>
      <c r="K627" s="467"/>
      <c r="L627" s="468"/>
    </row>
    <row r="628" spans="3:15" ht="25.5" x14ac:dyDescent="0.25">
      <c r="C628" s="72" t="s">
        <v>66</v>
      </c>
      <c r="D628" s="492" t="s">
        <v>498</v>
      </c>
      <c r="E628" s="492"/>
      <c r="F628" s="492"/>
      <c r="G628" s="492"/>
      <c r="H628" s="73" t="s">
        <v>499</v>
      </c>
      <c r="I628" s="74" t="s">
        <v>506</v>
      </c>
      <c r="J628" s="73" t="s">
        <v>501</v>
      </c>
      <c r="K628" s="85" t="s">
        <v>507</v>
      </c>
      <c r="L628" s="70" t="s">
        <v>502</v>
      </c>
    </row>
    <row r="629" spans="3:15" x14ac:dyDescent="0.25">
      <c r="C629" s="113" t="s">
        <v>731</v>
      </c>
      <c r="D629" s="498" t="str">
        <f>+MATERIALES!$B$302</f>
        <v>Lubricante tarro</v>
      </c>
      <c r="E629" s="496"/>
      <c r="F629" s="496"/>
      <c r="G629" s="497"/>
      <c r="H629" s="73" t="str">
        <f>+MATERIALES!$C$302</f>
        <v>Kg</v>
      </c>
      <c r="I629" s="76">
        <v>0.01</v>
      </c>
      <c r="J629" s="86">
        <f>+MATERIALES!$D$302</f>
        <v>43900</v>
      </c>
      <c r="K629" s="87">
        <v>0.01</v>
      </c>
      <c r="L629" s="88">
        <f>I629*J629*(1+K629)</f>
        <v>443.39</v>
      </c>
    </row>
    <row r="630" spans="3:15" x14ac:dyDescent="0.25">
      <c r="C630" s="90" t="s">
        <v>732</v>
      </c>
      <c r="D630" s="498" t="str">
        <f>+MATERIALES!$B$303</f>
        <v>Limpiador PVC 760 grms</v>
      </c>
      <c r="E630" s="496"/>
      <c r="F630" s="496"/>
      <c r="G630" s="497"/>
      <c r="H630" s="73" t="str">
        <f>+MATERIALES!$C$303</f>
        <v>und</v>
      </c>
      <c r="I630" s="76">
        <v>0.05</v>
      </c>
      <c r="J630" s="86">
        <f>+MATERIALES!$D$303</f>
        <v>40900</v>
      </c>
      <c r="K630" s="87">
        <v>0.01</v>
      </c>
      <c r="L630" s="88">
        <f>I630*J630*(1+K630)</f>
        <v>2065.4499999999998</v>
      </c>
    </row>
    <row r="631" spans="3:15" x14ac:dyDescent="0.25">
      <c r="C631" s="90" t="s">
        <v>733</v>
      </c>
      <c r="D631" s="498" t="str">
        <f>+MATERIALES!$B$304</f>
        <v>Soldadura PVC 1/4 galon</v>
      </c>
      <c r="E631" s="496"/>
      <c r="F631" s="496"/>
      <c r="G631" s="497"/>
      <c r="H631" s="73" t="str">
        <f>+MATERIALES!$C$304</f>
        <v>und</v>
      </c>
      <c r="I631" s="76">
        <v>0.05</v>
      </c>
      <c r="J631" s="86">
        <f>+MATERIALES!$D$304</f>
        <v>84900</v>
      </c>
      <c r="K631" s="87">
        <v>0.01</v>
      </c>
      <c r="L631" s="88">
        <f>I631*J631*(1+K631)</f>
        <v>4287.45</v>
      </c>
    </row>
    <row r="632" spans="3:15" x14ac:dyDescent="0.25">
      <c r="C632" s="113" t="s">
        <v>723</v>
      </c>
      <c r="D632" s="498" t="str">
        <f>+MATERIALES!B295</f>
        <v xml:space="preserve">unión rápida  D=3" </v>
      </c>
      <c r="E632" s="496"/>
      <c r="F632" s="496"/>
      <c r="G632" s="497"/>
      <c r="H632" s="73" t="str">
        <f>+MATERIALES!C295</f>
        <v>und</v>
      </c>
      <c r="I632" s="91">
        <v>1</v>
      </c>
      <c r="J632" s="86">
        <f>+MATERIALES!D295</f>
        <v>26704</v>
      </c>
      <c r="K632" s="93">
        <v>0</v>
      </c>
      <c r="L632" s="88">
        <f>I632*J632*(1+K632)</f>
        <v>26704</v>
      </c>
    </row>
    <row r="633" spans="3:15" ht="13.5" thickBot="1" x14ac:dyDescent="0.3">
      <c r="C633" s="94"/>
      <c r="D633" s="485" t="s">
        <v>508</v>
      </c>
      <c r="E633" s="485"/>
      <c r="F633" s="485"/>
      <c r="G633" s="485"/>
      <c r="H633" s="485"/>
      <c r="I633" s="485"/>
      <c r="J633" s="485"/>
      <c r="K633" s="485"/>
      <c r="L633" s="84">
        <f>SUM(L629:L632)</f>
        <v>33500.29</v>
      </c>
      <c r="O633" s="119"/>
    </row>
    <row r="634" spans="3:15" ht="13.5" thickBot="1" x14ac:dyDescent="0.3">
      <c r="C634" s="486"/>
      <c r="D634" s="487"/>
      <c r="E634" s="487"/>
      <c r="F634" s="487"/>
      <c r="G634" s="487"/>
      <c r="H634" s="487"/>
      <c r="I634" s="487"/>
      <c r="J634" s="487"/>
      <c r="K634" s="487"/>
      <c r="L634" s="488"/>
    </row>
    <row r="635" spans="3:15" x14ac:dyDescent="0.25">
      <c r="C635" s="466" t="s">
        <v>509</v>
      </c>
      <c r="D635" s="467"/>
      <c r="E635" s="467"/>
      <c r="F635" s="467"/>
      <c r="G635" s="467"/>
      <c r="H635" s="467"/>
      <c r="I635" s="467"/>
      <c r="J635" s="467"/>
      <c r="K635" s="467"/>
      <c r="L635" s="468"/>
    </row>
    <row r="636" spans="3:15" x14ac:dyDescent="0.25">
      <c r="C636" s="72" t="s">
        <v>66</v>
      </c>
      <c r="D636" s="492" t="s">
        <v>498</v>
      </c>
      <c r="E636" s="492"/>
      <c r="F636" s="492"/>
      <c r="G636" s="492"/>
      <c r="H636" s="73" t="s">
        <v>506</v>
      </c>
      <c r="I636" s="73" t="s">
        <v>499</v>
      </c>
      <c r="J636" s="74" t="s">
        <v>510</v>
      </c>
      <c r="K636" s="85" t="s">
        <v>511</v>
      </c>
      <c r="L636" s="70" t="s">
        <v>502</v>
      </c>
    </row>
    <row r="637" spans="3:15" x14ac:dyDescent="0.25">
      <c r="C637" s="90"/>
      <c r="D637" s="494"/>
      <c r="E637" s="494"/>
      <c r="F637" s="494"/>
      <c r="G637" s="494"/>
      <c r="H637" s="76"/>
      <c r="I637" s="97"/>
      <c r="J637" s="97"/>
      <c r="K637" s="95"/>
      <c r="L637" s="96"/>
    </row>
    <row r="638" spans="3:15" x14ac:dyDescent="0.25">
      <c r="C638" s="90"/>
      <c r="D638" s="495"/>
      <c r="E638" s="495"/>
      <c r="F638" s="495"/>
      <c r="G638" s="495"/>
      <c r="H638" s="76"/>
      <c r="I638" s="97"/>
      <c r="J638" s="97"/>
      <c r="K638" s="95"/>
      <c r="L638" s="96"/>
      <c r="O638" s="119">
        <f>44700-(L647+L625)</f>
        <v>33500.574618899998</v>
      </c>
    </row>
    <row r="639" spans="3:15" x14ac:dyDescent="0.25">
      <c r="C639" s="90"/>
      <c r="D639" s="495"/>
      <c r="E639" s="495"/>
      <c r="F639" s="495"/>
      <c r="G639" s="495"/>
      <c r="H639" s="76"/>
      <c r="I639" s="97"/>
      <c r="J639" s="97"/>
      <c r="K639" s="95"/>
      <c r="L639" s="96"/>
    </row>
    <row r="640" spans="3:15" ht="13.5" thickBot="1" x14ac:dyDescent="0.3">
      <c r="C640" s="83"/>
      <c r="D640" s="485" t="s">
        <v>512</v>
      </c>
      <c r="E640" s="485"/>
      <c r="F640" s="485"/>
      <c r="G640" s="485"/>
      <c r="H640" s="485"/>
      <c r="I640" s="485"/>
      <c r="J640" s="485"/>
      <c r="K640" s="485"/>
      <c r="L640" s="98">
        <f>L637</f>
        <v>0</v>
      </c>
    </row>
    <row r="641" spans="3:12" ht="13.5" thickBot="1" x14ac:dyDescent="0.3">
      <c r="C641" s="477"/>
      <c r="D641" s="478"/>
      <c r="E641" s="478"/>
      <c r="F641" s="478"/>
      <c r="G641" s="478"/>
      <c r="H641" s="478"/>
      <c r="I641" s="478"/>
      <c r="J641" s="478"/>
      <c r="K641" s="478"/>
      <c r="L641" s="479"/>
    </row>
    <row r="642" spans="3:12" x14ac:dyDescent="0.25">
      <c r="C642" s="466" t="s">
        <v>513</v>
      </c>
      <c r="D642" s="467"/>
      <c r="E642" s="467"/>
      <c r="F642" s="467"/>
      <c r="G642" s="467"/>
      <c r="H642" s="467"/>
      <c r="I642" s="467"/>
      <c r="J642" s="467"/>
      <c r="K642" s="467"/>
      <c r="L642" s="468"/>
    </row>
    <row r="643" spans="3:12" x14ac:dyDescent="0.25">
      <c r="C643" s="72" t="s">
        <v>66</v>
      </c>
      <c r="D643" s="492" t="s">
        <v>498</v>
      </c>
      <c r="E643" s="492"/>
      <c r="F643" s="85" t="s">
        <v>499</v>
      </c>
      <c r="G643" s="85" t="s">
        <v>506</v>
      </c>
      <c r="H643" s="73" t="s">
        <v>514</v>
      </c>
      <c r="I643" s="99" t="s">
        <v>515</v>
      </c>
      <c r="J643" s="85" t="s">
        <v>516</v>
      </c>
      <c r="K643" s="99" t="s">
        <v>517</v>
      </c>
      <c r="L643" s="100" t="s">
        <v>502</v>
      </c>
    </row>
    <row r="644" spans="3:12" x14ac:dyDescent="0.25">
      <c r="C644" s="79" t="s">
        <v>519</v>
      </c>
      <c r="D644" s="460" t="str">
        <f>'MANO DE OBRA'!$B$3</f>
        <v>Ayudante</v>
      </c>
      <c r="E644" s="461"/>
      <c r="F644" s="97" t="str">
        <f>'MANO DE OBRA'!$C$2</f>
        <v>DIA</v>
      </c>
      <c r="G644" s="76">
        <v>2</v>
      </c>
      <c r="H644" s="101">
        <f>'MANO DE OBRA'!$D$3</f>
        <v>28981.77</v>
      </c>
      <c r="I644" s="102">
        <v>0.75649999999999995</v>
      </c>
      <c r="J644" s="103">
        <f>(H644+(H644*I644))</f>
        <v>50906.479005000001</v>
      </c>
      <c r="K644" s="76">
        <v>10</v>
      </c>
      <c r="L644" s="96">
        <f>G644*(J644/K644)</f>
        <v>10181.295801</v>
      </c>
    </row>
    <row r="645" spans="3:12" x14ac:dyDescent="0.25">
      <c r="C645" s="79"/>
      <c r="D645" s="460"/>
      <c r="E645" s="461"/>
      <c r="F645" s="97"/>
      <c r="G645" s="76"/>
      <c r="H645" s="101"/>
      <c r="I645" s="102"/>
      <c r="J645" s="103"/>
      <c r="K645" s="76"/>
      <c r="L645" s="96"/>
    </row>
    <row r="646" spans="3:12" x14ac:dyDescent="0.25">
      <c r="C646" s="90"/>
      <c r="D646" s="493"/>
      <c r="E646" s="493"/>
      <c r="F646" s="97"/>
      <c r="G646" s="76"/>
      <c r="H646" s="101"/>
      <c r="I646" s="102"/>
      <c r="J646" s="103"/>
      <c r="K646" s="76"/>
      <c r="L646" s="96"/>
    </row>
    <row r="647" spans="3:12" ht="13.5" thickBot="1" x14ac:dyDescent="0.3">
      <c r="C647" s="83"/>
      <c r="D647" s="485" t="s">
        <v>520</v>
      </c>
      <c r="E647" s="485"/>
      <c r="F647" s="485"/>
      <c r="G647" s="485"/>
      <c r="H647" s="485"/>
      <c r="I647" s="485"/>
      <c r="J647" s="485"/>
      <c r="K647" s="485"/>
      <c r="L647" s="98">
        <f>L645+L644</f>
        <v>10181.295801</v>
      </c>
    </row>
    <row r="648" spans="3:12" ht="13.5" thickBot="1" x14ac:dyDescent="0.3">
      <c r="C648" s="486"/>
      <c r="D648" s="487"/>
      <c r="E648" s="487"/>
      <c r="F648" s="487"/>
      <c r="G648" s="487"/>
      <c r="H648" s="487"/>
      <c r="I648" s="487"/>
      <c r="J648" s="487"/>
      <c r="K648" s="487"/>
      <c r="L648" s="488"/>
    </row>
    <row r="649" spans="3:12" ht="13.5" thickBot="1" x14ac:dyDescent="0.3">
      <c r="C649" s="489" t="s">
        <v>521</v>
      </c>
      <c r="D649" s="490"/>
      <c r="E649" s="490"/>
      <c r="F649" s="490"/>
      <c r="G649" s="490"/>
      <c r="H649" s="490"/>
      <c r="I649" s="490"/>
      <c r="J649" s="491"/>
      <c r="K649" s="145">
        <f>ROUND(L647+L640+L633+L625,0)</f>
        <v>44700</v>
      </c>
      <c r="L649" s="146"/>
    </row>
    <row r="651" spans="3:12" ht="13.5" thickBot="1" x14ac:dyDescent="0.3"/>
    <row r="652" spans="3:12" x14ac:dyDescent="0.25">
      <c r="C652" s="466" t="s">
        <v>495</v>
      </c>
      <c r="D652" s="467"/>
      <c r="E652" s="467"/>
      <c r="F652" s="467"/>
      <c r="G652" s="467"/>
      <c r="H652" s="467"/>
      <c r="I652" s="467"/>
      <c r="J652" s="467"/>
      <c r="K652" s="467"/>
      <c r="L652" s="468"/>
    </row>
    <row r="653" spans="3:12" ht="12.75" customHeight="1" x14ac:dyDescent="0.25">
      <c r="C653" s="469" t="str">
        <f>+PPTO!$A$2</f>
        <v>REPOSICION E INSTALACION VALVULAS DE SECTORIZACION EN DIFERENTES SECTORES DEL MUNICIPIO DE PIEDECUESTA - SANTANDER.</v>
      </c>
      <c r="D653" s="470"/>
      <c r="E653" s="470"/>
      <c r="F653" s="470"/>
      <c r="G653" s="470"/>
      <c r="H653" s="470"/>
      <c r="I653" s="470"/>
      <c r="J653" s="470"/>
      <c r="K653" s="470"/>
      <c r="L653" s="471"/>
    </row>
    <row r="654" spans="3:12" x14ac:dyDescent="0.25">
      <c r="C654" s="472" t="s">
        <v>496</v>
      </c>
      <c r="D654" s="141">
        <f>+PPTO!$A$20</f>
        <v>4</v>
      </c>
      <c r="E654" s="474" t="str">
        <f>+PPTO!$B$20</f>
        <v>SUMINISTRO E INSTALACION DE TUBERIAS Y ACCESORIOS.</v>
      </c>
      <c r="F654" s="475"/>
      <c r="G654" s="475"/>
      <c r="H654" s="475"/>
      <c r="I654" s="475"/>
      <c r="J654" s="475"/>
      <c r="K654" s="475"/>
      <c r="L654" s="70" t="s">
        <v>52</v>
      </c>
    </row>
    <row r="655" spans="3:12" ht="13.5" thickBot="1" x14ac:dyDescent="0.3">
      <c r="C655" s="473"/>
      <c r="D655" s="120">
        <f>+PPTO!A29</f>
        <v>4.09</v>
      </c>
      <c r="E655" s="476" t="str">
        <f>+PPTO!B29</f>
        <v xml:space="preserve">Suministro e instalación unión rápida  D=2" </v>
      </c>
      <c r="F655" s="476"/>
      <c r="G655" s="476"/>
      <c r="H655" s="476"/>
      <c r="I655" s="476"/>
      <c r="J655" s="476"/>
      <c r="K655" s="476"/>
      <c r="L655" s="71" t="str">
        <f>+PPTO!C29</f>
        <v>UND</v>
      </c>
    </row>
    <row r="656" spans="3:12" ht="13.5" thickBot="1" x14ac:dyDescent="0.3">
      <c r="C656" s="477"/>
      <c r="D656" s="478"/>
      <c r="E656" s="478"/>
      <c r="F656" s="478"/>
      <c r="G656" s="478"/>
      <c r="H656" s="478"/>
      <c r="I656" s="478"/>
      <c r="J656" s="478"/>
      <c r="K656" s="478"/>
      <c r="L656" s="479"/>
    </row>
    <row r="657" spans="3:12" x14ac:dyDescent="0.25">
      <c r="C657" s="466" t="s">
        <v>497</v>
      </c>
      <c r="D657" s="467"/>
      <c r="E657" s="467"/>
      <c r="F657" s="467"/>
      <c r="G657" s="467"/>
      <c r="H657" s="467"/>
      <c r="I657" s="467"/>
      <c r="J657" s="467"/>
      <c r="K657" s="467"/>
      <c r="L657" s="468"/>
    </row>
    <row r="658" spans="3:12" x14ac:dyDescent="0.25">
      <c r="C658" s="72" t="s">
        <v>66</v>
      </c>
      <c r="D658" s="492" t="s">
        <v>498</v>
      </c>
      <c r="E658" s="492"/>
      <c r="F658" s="492"/>
      <c r="G658" s="492"/>
      <c r="H658" s="492"/>
      <c r="I658" s="73" t="s">
        <v>499</v>
      </c>
      <c r="J658" s="74" t="s">
        <v>500</v>
      </c>
      <c r="K658" s="73" t="s">
        <v>501</v>
      </c>
      <c r="L658" s="70" t="s">
        <v>502</v>
      </c>
    </row>
    <row r="659" spans="3:12" x14ac:dyDescent="0.25">
      <c r="C659" s="75"/>
      <c r="D659" s="460"/>
      <c r="E659" s="499"/>
      <c r="F659" s="499"/>
      <c r="G659" s="499"/>
      <c r="H659" s="461"/>
      <c r="I659" s="76"/>
      <c r="J659" s="76"/>
      <c r="K659" s="77"/>
      <c r="L659" s="78"/>
    </row>
    <row r="660" spans="3:12" x14ac:dyDescent="0.25">
      <c r="C660" s="75"/>
      <c r="D660" s="493"/>
      <c r="E660" s="493"/>
      <c r="F660" s="493"/>
      <c r="G660" s="493"/>
      <c r="H660" s="493"/>
      <c r="I660" s="76"/>
      <c r="J660" s="80"/>
      <c r="K660" s="81"/>
      <c r="L660" s="78"/>
    </row>
    <row r="661" spans="3:12" x14ac:dyDescent="0.25">
      <c r="C661" s="79"/>
      <c r="D661" s="493" t="s">
        <v>503</v>
      </c>
      <c r="E661" s="493"/>
      <c r="F661" s="493"/>
      <c r="G661" s="493"/>
      <c r="H661" s="493"/>
      <c r="I661" s="76" t="s">
        <v>61</v>
      </c>
      <c r="J661" s="80">
        <v>1</v>
      </c>
      <c r="K661" s="81">
        <f>L684*0.1</f>
        <v>1018.1295801000001</v>
      </c>
      <c r="L661" s="82">
        <f>K661/J661</f>
        <v>1018.1295801000001</v>
      </c>
    </row>
    <row r="662" spans="3:12" ht="13.5" thickBot="1" x14ac:dyDescent="0.3">
      <c r="C662" s="83"/>
      <c r="D662" s="485" t="s">
        <v>504</v>
      </c>
      <c r="E662" s="485"/>
      <c r="F662" s="485"/>
      <c r="G662" s="485"/>
      <c r="H662" s="485"/>
      <c r="I662" s="485"/>
      <c r="J662" s="485"/>
      <c r="K662" s="485"/>
      <c r="L662" s="84">
        <f>SUM(L659:L661)</f>
        <v>1018.1295801000001</v>
      </c>
    </row>
    <row r="663" spans="3:12" ht="13.5" thickBot="1" x14ac:dyDescent="0.3">
      <c r="C663" s="477"/>
      <c r="D663" s="478"/>
      <c r="E663" s="478"/>
      <c r="F663" s="478"/>
      <c r="G663" s="478"/>
      <c r="H663" s="478"/>
      <c r="I663" s="478"/>
      <c r="J663" s="478"/>
      <c r="K663" s="478"/>
      <c r="L663" s="479"/>
    </row>
    <row r="664" spans="3:12" x14ac:dyDescent="0.25">
      <c r="C664" s="466" t="s">
        <v>505</v>
      </c>
      <c r="D664" s="467"/>
      <c r="E664" s="467"/>
      <c r="F664" s="467"/>
      <c r="G664" s="467"/>
      <c r="H664" s="467"/>
      <c r="I664" s="467"/>
      <c r="J664" s="467"/>
      <c r="K664" s="467"/>
      <c r="L664" s="468"/>
    </row>
    <row r="665" spans="3:12" ht="25.5" x14ac:dyDescent="0.25">
      <c r="C665" s="72" t="s">
        <v>66</v>
      </c>
      <c r="D665" s="492" t="s">
        <v>498</v>
      </c>
      <c r="E665" s="492"/>
      <c r="F665" s="492"/>
      <c r="G665" s="492"/>
      <c r="H665" s="73" t="s">
        <v>499</v>
      </c>
      <c r="I665" s="74" t="s">
        <v>506</v>
      </c>
      <c r="J665" s="73" t="s">
        <v>501</v>
      </c>
      <c r="K665" s="85" t="s">
        <v>507</v>
      </c>
      <c r="L665" s="70" t="s">
        <v>502</v>
      </c>
    </row>
    <row r="666" spans="3:12" x14ac:dyDescent="0.25">
      <c r="C666" s="113" t="s">
        <v>731</v>
      </c>
      <c r="D666" s="498" t="str">
        <f>+MATERIALES!$B$302</f>
        <v>Lubricante tarro</v>
      </c>
      <c r="E666" s="496"/>
      <c r="F666" s="496"/>
      <c r="G666" s="497"/>
      <c r="H666" s="73" t="str">
        <f>+MATERIALES!$C$302</f>
        <v>Kg</v>
      </c>
      <c r="I666" s="76">
        <v>0.01</v>
      </c>
      <c r="J666" s="86">
        <f>+MATERIALES!$D$302</f>
        <v>43900</v>
      </c>
      <c r="K666" s="87">
        <v>0.01</v>
      </c>
      <c r="L666" s="88">
        <f>I666*J666*(1+K666)</f>
        <v>443.39</v>
      </c>
    </row>
    <row r="667" spans="3:12" x14ac:dyDescent="0.25">
      <c r="C667" s="90" t="s">
        <v>732</v>
      </c>
      <c r="D667" s="498" t="str">
        <f>+MATERIALES!$B$303</f>
        <v>Limpiador PVC 760 grms</v>
      </c>
      <c r="E667" s="496"/>
      <c r="F667" s="496"/>
      <c r="G667" s="497"/>
      <c r="H667" s="73" t="str">
        <f>+MATERIALES!$C$303</f>
        <v>und</v>
      </c>
      <c r="I667" s="76">
        <v>0.05</v>
      </c>
      <c r="J667" s="86">
        <f>+MATERIALES!$D$303</f>
        <v>40900</v>
      </c>
      <c r="K667" s="87">
        <v>0.01</v>
      </c>
      <c r="L667" s="88">
        <f>I667*J667*(1+K667)</f>
        <v>2065.4499999999998</v>
      </c>
    </row>
    <row r="668" spans="3:12" x14ac:dyDescent="0.25">
      <c r="C668" s="90" t="s">
        <v>733</v>
      </c>
      <c r="D668" s="498" t="str">
        <f>+MATERIALES!$B$304</f>
        <v>Soldadura PVC 1/4 galon</v>
      </c>
      <c r="E668" s="496"/>
      <c r="F668" s="496"/>
      <c r="G668" s="497"/>
      <c r="H668" s="73" t="str">
        <f>+MATERIALES!$C$304</f>
        <v>und</v>
      </c>
      <c r="I668" s="76">
        <v>0.05</v>
      </c>
      <c r="J668" s="86">
        <f>+MATERIALES!$D$304</f>
        <v>84900</v>
      </c>
      <c r="K668" s="87">
        <v>0.01</v>
      </c>
      <c r="L668" s="88">
        <f>I668*J668*(1+K668)</f>
        <v>4287.45</v>
      </c>
    </row>
    <row r="669" spans="3:12" x14ac:dyDescent="0.25">
      <c r="C669" s="113" t="s">
        <v>724</v>
      </c>
      <c r="D669" s="498" t="str">
        <f>+MATERIALES!B296</f>
        <v xml:space="preserve">unión rápida  D=2" </v>
      </c>
      <c r="E669" s="496"/>
      <c r="F669" s="496"/>
      <c r="G669" s="497"/>
      <c r="H669" s="73" t="str">
        <f>+MATERIALES!C296</f>
        <v>und</v>
      </c>
      <c r="I669" s="91">
        <v>1</v>
      </c>
      <c r="J669" s="86">
        <f>+MATERIALES!D296</f>
        <v>8104</v>
      </c>
      <c r="K669" s="93">
        <v>0</v>
      </c>
      <c r="L669" s="88">
        <f>I669*J669*(1+K669)</f>
        <v>8104</v>
      </c>
    </row>
    <row r="670" spans="3:12" ht="13.5" thickBot="1" x14ac:dyDescent="0.3">
      <c r="C670" s="94"/>
      <c r="D670" s="485" t="s">
        <v>508</v>
      </c>
      <c r="E670" s="485"/>
      <c r="F670" s="485"/>
      <c r="G670" s="485"/>
      <c r="H670" s="485"/>
      <c r="I670" s="485"/>
      <c r="J670" s="485"/>
      <c r="K670" s="485"/>
      <c r="L670" s="84">
        <f>SUM(L666:L669)</f>
        <v>14900.289999999999</v>
      </c>
    </row>
    <row r="671" spans="3:12" ht="13.5" thickBot="1" x14ac:dyDescent="0.3">
      <c r="C671" s="486"/>
      <c r="D671" s="487"/>
      <c r="E671" s="487"/>
      <c r="F671" s="487"/>
      <c r="G671" s="487"/>
      <c r="H671" s="487"/>
      <c r="I671" s="487"/>
      <c r="J671" s="487"/>
      <c r="K671" s="487"/>
      <c r="L671" s="488"/>
    </row>
    <row r="672" spans="3:12" x14ac:dyDescent="0.25">
      <c r="C672" s="466" t="s">
        <v>509</v>
      </c>
      <c r="D672" s="467"/>
      <c r="E672" s="467"/>
      <c r="F672" s="467"/>
      <c r="G672" s="467"/>
      <c r="H672" s="467"/>
      <c r="I672" s="467"/>
      <c r="J672" s="467"/>
      <c r="K672" s="467"/>
      <c r="L672" s="468"/>
    </row>
    <row r="673" spans="3:15" x14ac:dyDescent="0.25">
      <c r="C673" s="72" t="s">
        <v>66</v>
      </c>
      <c r="D673" s="492" t="s">
        <v>498</v>
      </c>
      <c r="E673" s="492"/>
      <c r="F673" s="492"/>
      <c r="G673" s="492"/>
      <c r="H673" s="73" t="s">
        <v>506</v>
      </c>
      <c r="I673" s="73" t="s">
        <v>499</v>
      </c>
      <c r="J673" s="74" t="s">
        <v>510</v>
      </c>
      <c r="K673" s="85" t="s">
        <v>511</v>
      </c>
      <c r="L673" s="70" t="s">
        <v>502</v>
      </c>
    </row>
    <row r="674" spans="3:15" x14ac:dyDescent="0.25">
      <c r="C674" s="90"/>
      <c r="D674" s="494"/>
      <c r="E674" s="494"/>
      <c r="F674" s="494"/>
      <c r="G674" s="494"/>
      <c r="H674" s="76"/>
      <c r="I674" s="97"/>
      <c r="J674" s="97"/>
      <c r="K674" s="95"/>
      <c r="L674" s="96"/>
    </row>
    <row r="675" spans="3:15" x14ac:dyDescent="0.25">
      <c r="C675" s="90"/>
      <c r="D675" s="495"/>
      <c r="E675" s="495"/>
      <c r="F675" s="495"/>
      <c r="G675" s="495"/>
      <c r="H675" s="76"/>
      <c r="I675" s="97"/>
      <c r="J675" s="97"/>
      <c r="K675" s="95"/>
      <c r="L675" s="96"/>
    </row>
    <row r="676" spans="3:15" x14ac:dyDescent="0.25">
      <c r="C676" s="90"/>
      <c r="D676" s="495"/>
      <c r="E676" s="495"/>
      <c r="F676" s="495"/>
      <c r="G676" s="495"/>
      <c r="H676" s="76"/>
      <c r="I676" s="97"/>
      <c r="J676" s="97"/>
      <c r="K676" s="95"/>
      <c r="L676" s="96"/>
    </row>
    <row r="677" spans="3:15" ht="13.5" thickBot="1" x14ac:dyDescent="0.3">
      <c r="C677" s="83"/>
      <c r="D677" s="485" t="s">
        <v>512</v>
      </c>
      <c r="E677" s="485"/>
      <c r="F677" s="485"/>
      <c r="G677" s="485"/>
      <c r="H677" s="485"/>
      <c r="I677" s="485"/>
      <c r="J677" s="485"/>
      <c r="K677" s="485"/>
      <c r="L677" s="98">
        <f>L674</f>
        <v>0</v>
      </c>
    </row>
    <row r="678" spans="3:15" ht="13.5" thickBot="1" x14ac:dyDescent="0.3">
      <c r="C678" s="477"/>
      <c r="D678" s="478"/>
      <c r="E678" s="478"/>
      <c r="F678" s="478"/>
      <c r="G678" s="478"/>
      <c r="H678" s="478"/>
      <c r="I678" s="478"/>
      <c r="J678" s="478"/>
      <c r="K678" s="478"/>
      <c r="L678" s="479"/>
      <c r="O678" s="119">
        <f>26100-(L684+L662+L666+L667+L668)</f>
        <v>8104.2846189000011</v>
      </c>
    </row>
    <row r="679" spans="3:15" x14ac:dyDescent="0.25">
      <c r="C679" s="466" t="s">
        <v>513</v>
      </c>
      <c r="D679" s="467"/>
      <c r="E679" s="467"/>
      <c r="F679" s="467"/>
      <c r="G679" s="467"/>
      <c r="H679" s="467"/>
      <c r="I679" s="467"/>
      <c r="J679" s="467"/>
      <c r="K679" s="467"/>
      <c r="L679" s="468"/>
    </row>
    <row r="680" spans="3:15" x14ac:dyDescent="0.25">
      <c r="C680" s="72" t="s">
        <v>66</v>
      </c>
      <c r="D680" s="492" t="s">
        <v>498</v>
      </c>
      <c r="E680" s="492"/>
      <c r="F680" s="85" t="s">
        <v>499</v>
      </c>
      <c r="G680" s="85" t="s">
        <v>506</v>
      </c>
      <c r="H680" s="73" t="s">
        <v>514</v>
      </c>
      <c r="I680" s="99" t="s">
        <v>515</v>
      </c>
      <c r="J680" s="85" t="s">
        <v>516</v>
      </c>
      <c r="K680" s="99" t="s">
        <v>517</v>
      </c>
      <c r="L680" s="100" t="s">
        <v>502</v>
      </c>
    </row>
    <row r="681" spans="3:15" x14ac:dyDescent="0.25">
      <c r="C681" s="79" t="s">
        <v>519</v>
      </c>
      <c r="D681" s="460" t="str">
        <f>'MANO DE OBRA'!$B$3</f>
        <v>Ayudante</v>
      </c>
      <c r="E681" s="461"/>
      <c r="F681" s="97" t="str">
        <f>'MANO DE OBRA'!$C$2</f>
        <v>DIA</v>
      </c>
      <c r="G681" s="76">
        <v>2</v>
      </c>
      <c r="H681" s="101">
        <f>'MANO DE OBRA'!$D$3</f>
        <v>28981.77</v>
      </c>
      <c r="I681" s="102">
        <v>0.75649999999999995</v>
      </c>
      <c r="J681" s="103">
        <f>(H681+(H681*I681))</f>
        <v>50906.479005000001</v>
      </c>
      <c r="K681" s="76">
        <v>10</v>
      </c>
      <c r="L681" s="96">
        <f>G681*(J681/K681)</f>
        <v>10181.295801</v>
      </c>
    </row>
    <row r="682" spans="3:15" x14ac:dyDescent="0.25">
      <c r="C682" s="79"/>
      <c r="D682" s="460"/>
      <c r="E682" s="461"/>
      <c r="F682" s="97"/>
      <c r="G682" s="76"/>
      <c r="H682" s="101"/>
      <c r="I682" s="102"/>
      <c r="J682" s="103"/>
      <c r="K682" s="76"/>
      <c r="L682" s="96"/>
    </row>
    <row r="683" spans="3:15" x14ac:dyDescent="0.25">
      <c r="C683" s="90"/>
      <c r="D683" s="493"/>
      <c r="E683" s="493"/>
      <c r="F683" s="97"/>
      <c r="G683" s="76"/>
      <c r="H683" s="101"/>
      <c r="I683" s="102"/>
      <c r="J683" s="103"/>
      <c r="K683" s="76"/>
      <c r="L683" s="96"/>
    </row>
    <row r="684" spans="3:15" ht="13.5" thickBot="1" x14ac:dyDescent="0.3">
      <c r="C684" s="83"/>
      <c r="D684" s="485" t="s">
        <v>520</v>
      </c>
      <c r="E684" s="485"/>
      <c r="F684" s="485"/>
      <c r="G684" s="485"/>
      <c r="H684" s="485"/>
      <c r="I684" s="485"/>
      <c r="J684" s="485"/>
      <c r="K684" s="485"/>
      <c r="L684" s="98">
        <f>L682+L681</f>
        <v>10181.295801</v>
      </c>
    </row>
    <row r="685" spans="3:15" ht="13.5" thickBot="1" x14ac:dyDescent="0.3">
      <c r="C685" s="486"/>
      <c r="D685" s="487"/>
      <c r="E685" s="487"/>
      <c r="F685" s="487"/>
      <c r="G685" s="487"/>
      <c r="H685" s="487"/>
      <c r="I685" s="487"/>
      <c r="J685" s="487"/>
      <c r="K685" s="487"/>
      <c r="L685" s="488"/>
    </row>
    <row r="686" spans="3:15" ht="13.5" thickBot="1" x14ac:dyDescent="0.3">
      <c r="C686" s="489" t="s">
        <v>521</v>
      </c>
      <c r="D686" s="490"/>
      <c r="E686" s="490"/>
      <c r="F686" s="490"/>
      <c r="G686" s="490"/>
      <c r="H686" s="490"/>
      <c r="I686" s="490"/>
      <c r="J686" s="491"/>
      <c r="K686" s="145">
        <f>ROUND(L684+L677+L670+L662,0)</f>
        <v>26100</v>
      </c>
      <c r="L686" s="146"/>
    </row>
    <row r="688" spans="3:15" ht="13.5" thickBot="1" x14ac:dyDescent="0.3"/>
    <row r="689" spans="3:12" x14ac:dyDescent="0.25">
      <c r="C689" s="466" t="s">
        <v>495</v>
      </c>
      <c r="D689" s="467"/>
      <c r="E689" s="467"/>
      <c r="F689" s="467"/>
      <c r="G689" s="467"/>
      <c r="H689" s="467"/>
      <c r="I689" s="467"/>
      <c r="J689" s="467"/>
      <c r="K689" s="467"/>
      <c r="L689" s="468"/>
    </row>
    <row r="690" spans="3:12" ht="12.75" customHeight="1" x14ac:dyDescent="0.25">
      <c r="C690" s="469" t="str">
        <f>+PPTO!$A$2</f>
        <v>REPOSICION E INSTALACION VALVULAS DE SECTORIZACION EN DIFERENTES SECTORES DEL MUNICIPIO DE PIEDECUESTA - SANTANDER.</v>
      </c>
      <c r="D690" s="470"/>
      <c r="E690" s="470"/>
      <c r="F690" s="470"/>
      <c r="G690" s="470"/>
      <c r="H690" s="470"/>
      <c r="I690" s="470"/>
      <c r="J690" s="470"/>
      <c r="K690" s="470"/>
      <c r="L690" s="471"/>
    </row>
    <row r="691" spans="3:12" x14ac:dyDescent="0.25">
      <c r="C691" s="472" t="s">
        <v>496</v>
      </c>
      <c r="D691" s="141">
        <f>+PPTO!$A$20</f>
        <v>4</v>
      </c>
      <c r="E691" s="474" t="str">
        <f>+PPTO!$B$20</f>
        <v>SUMINISTRO E INSTALACION DE TUBERIAS Y ACCESORIOS.</v>
      </c>
      <c r="F691" s="475"/>
      <c r="G691" s="475"/>
      <c r="H691" s="475"/>
      <c r="I691" s="475"/>
      <c r="J691" s="475"/>
      <c r="K691" s="475"/>
      <c r="L691" s="70" t="s">
        <v>52</v>
      </c>
    </row>
    <row r="692" spans="3:12" ht="13.5" thickBot="1" x14ac:dyDescent="0.3">
      <c r="C692" s="473"/>
      <c r="D692" s="120">
        <f>+PPTO!A30</f>
        <v>4.0999999999999996</v>
      </c>
      <c r="E692" s="476" t="str">
        <f>+PPTO!B30</f>
        <v xml:space="preserve">Suministro e instalación unión rápida  D=4" </v>
      </c>
      <c r="F692" s="476"/>
      <c r="G692" s="476"/>
      <c r="H692" s="476"/>
      <c r="I692" s="476"/>
      <c r="J692" s="476"/>
      <c r="K692" s="476"/>
      <c r="L692" s="71" t="str">
        <f>+PPTO!C30</f>
        <v>UND</v>
      </c>
    </row>
    <row r="693" spans="3:12" ht="13.5" thickBot="1" x14ac:dyDescent="0.3">
      <c r="C693" s="477"/>
      <c r="D693" s="478"/>
      <c r="E693" s="478"/>
      <c r="F693" s="478"/>
      <c r="G693" s="478"/>
      <c r="H693" s="478"/>
      <c r="I693" s="478"/>
      <c r="J693" s="478"/>
      <c r="K693" s="478"/>
      <c r="L693" s="479"/>
    </row>
    <row r="694" spans="3:12" x14ac:dyDescent="0.25">
      <c r="C694" s="466" t="s">
        <v>497</v>
      </c>
      <c r="D694" s="467"/>
      <c r="E694" s="467"/>
      <c r="F694" s="467"/>
      <c r="G694" s="467"/>
      <c r="H694" s="467"/>
      <c r="I694" s="467"/>
      <c r="J694" s="467"/>
      <c r="K694" s="467"/>
      <c r="L694" s="468"/>
    </row>
    <row r="695" spans="3:12" x14ac:dyDescent="0.25">
      <c r="C695" s="72" t="s">
        <v>66</v>
      </c>
      <c r="D695" s="492" t="s">
        <v>498</v>
      </c>
      <c r="E695" s="492"/>
      <c r="F695" s="492"/>
      <c r="G695" s="492"/>
      <c r="H695" s="492"/>
      <c r="I695" s="73" t="s">
        <v>499</v>
      </c>
      <c r="J695" s="74" t="s">
        <v>500</v>
      </c>
      <c r="K695" s="73" t="s">
        <v>501</v>
      </c>
      <c r="L695" s="70" t="s">
        <v>502</v>
      </c>
    </row>
    <row r="696" spans="3:12" x14ac:dyDescent="0.25">
      <c r="C696" s="75"/>
      <c r="D696" s="460"/>
      <c r="E696" s="499"/>
      <c r="F696" s="499"/>
      <c r="G696" s="499"/>
      <c r="H696" s="461"/>
      <c r="I696" s="76"/>
      <c r="J696" s="76"/>
      <c r="K696" s="77"/>
      <c r="L696" s="78"/>
    </row>
    <row r="697" spans="3:12" x14ac:dyDescent="0.25">
      <c r="C697" s="75"/>
      <c r="D697" s="493"/>
      <c r="E697" s="493"/>
      <c r="F697" s="493"/>
      <c r="G697" s="493"/>
      <c r="H697" s="493"/>
      <c r="I697" s="76"/>
      <c r="J697" s="80"/>
      <c r="K697" s="81"/>
      <c r="L697" s="78"/>
    </row>
    <row r="698" spans="3:12" x14ac:dyDescent="0.25">
      <c r="C698" s="79"/>
      <c r="D698" s="493" t="s">
        <v>503</v>
      </c>
      <c r="E698" s="493"/>
      <c r="F698" s="493"/>
      <c r="G698" s="493"/>
      <c r="H698" s="493"/>
      <c r="I698" s="76" t="s">
        <v>61</v>
      </c>
      <c r="J698" s="80">
        <v>1</v>
      </c>
      <c r="K698" s="81">
        <f>L721*0.1</f>
        <v>1272.661975125</v>
      </c>
      <c r="L698" s="82">
        <f>K698/J698</f>
        <v>1272.661975125</v>
      </c>
    </row>
    <row r="699" spans="3:12" ht="13.5" thickBot="1" x14ac:dyDescent="0.3">
      <c r="C699" s="83"/>
      <c r="D699" s="485" t="s">
        <v>504</v>
      </c>
      <c r="E699" s="485"/>
      <c r="F699" s="485"/>
      <c r="G699" s="485"/>
      <c r="H699" s="485"/>
      <c r="I699" s="485"/>
      <c r="J699" s="485"/>
      <c r="K699" s="485"/>
      <c r="L699" s="84">
        <f>SUM(L696:L698)</f>
        <v>1272.661975125</v>
      </c>
    </row>
    <row r="700" spans="3:12" ht="13.5" thickBot="1" x14ac:dyDescent="0.3">
      <c r="C700" s="477"/>
      <c r="D700" s="478"/>
      <c r="E700" s="478"/>
      <c r="F700" s="478"/>
      <c r="G700" s="478"/>
      <c r="H700" s="478"/>
      <c r="I700" s="478"/>
      <c r="J700" s="478"/>
      <c r="K700" s="478"/>
      <c r="L700" s="479"/>
    </row>
    <row r="701" spans="3:12" x14ac:dyDescent="0.25">
      <c r="C701" s="466" t="s">
        <v>505</v>
      </c>
      <c r="D701" s="467"/>
      <c r="E701" s="467"/>
      <c r="F701" s="467"/>
      <c r="G701" s="467"/>
      <c r="H701" s="467"/>
      <c r="I701" s="467"/>
      <c r="J701" s="467"/>
      <c r="K701" s="467"/>
      <c r="L701" s="468"/>
    </row>
    <row r="702" spans="3:12" ht="25.5" x14ac:dyDescent="0.25">
      <c r="C702" s="72" t="s">
        <v>66</v>
      </c>
      <c r="D702" s="492" t="s">
        <v>498</v>
      </c>
      <c r="E702" s="492"/>
      <c r="F702" s="492"/>
      <c r="G702" s="492"/>
      <c r="H702" s="73" t="s">
        <v>499</v>
      </c>
      <c r="I702" s="74" t="s">
        <v>506</v>
      </c>
      <c r="J702" s="73" t="s">
        <v>501</v>
      </c>
      <c r="K702" s="85" t="s">
        <v>507</v>
      </c>
      <c r="L702" s="70" t="s">
        <v>502</v>
      </c>
    </row>
    <row r="703" spans="3:12" x14ac:dyDescent="0.25">
      <c r="C703" s="113" t="s">
        <v>731</v>
      </c>
      <c r="D703" s="498" t="str">
        <f>+MATERIALES!$B$302</f>
        <v>Lubricante tarro</v>
      </c>
      <c r="E703" s="496"/>
      <c r="F703" s="496"/>
      <c r="G703" s="497"/>
      <c r="H703" s="73" t="str">
        <f>+MATERIALES!$C$302</f>
        <v>Kg</v>
      </c>
      <c r="I703" s="76">
        <v>0.01</v>
      </c>
      <c r="J703" s="86">
        <f>+MATERIALES!$D$302</f>
        <v>43900</v>
      </c>
      <c r="K703" s="87">
        <v>0.01</v>
      </c>
      <c r="L703" s="88">
        <f>I703*J703*(1+K703)</f>
        <v>443.39</v>
      </c>
    </row>
    <row r="704" spans="3:12" x14ac:dyDescent="0.25">
      <c r="C704" s="90" t="s">
        <v>732</v>
      </c>
      <c r="D704" s="498" t="str">
        <f>+MATERIALES!$B$303</f>
        <v>Limpiador PVC 760 grms</v>
      </c>
      <c r="E704" s="496"/>
      <c r="F704" s="496"/>
      <c r="G704" s="497"/>
      <c r="H704" s="73" t="str">
        <f>+MATERIALES!$C$303</f>
        <v>und</v>
      </c>
      <c r="I704" s="76">
        <v>0.05</v>
      </c>
      <c r="J704" s="86">
        <f>+MATERIALES!$D$303</f>
        <v>40900</v>
      </c>
      <c r="K704" s="87">
        <v>0.01</v>
      </c>
      <c r="L704" s="88">
        <f>I704*J704*(1+K704)</f>
        <v>2065.4499999999998</v>
      </c>
    </row>
    <row r="705" spans="3:15" x14ac:dyDescent="0.25">
      <c r="C705" s="90" t="s">
        <v>733</v>
      </c>
      <c r="D705" s="498" t="str">
        <f>+MATERIALES!$B$304</f>
        <v>Soldadura PVC 1/4 galon</v>
      </c>
      <c r="E705" s="496"/>
      <c r="F705" s="496"/>
      <c r="G705" s="497"/>
      <c r="H705" s="73" t="str">
        <f>+MATERIALES!$C$304</f>
        <v>und</v>
      </c>
      <c r="I705" s="76">
        <v>0.05</v>
      </c>
      <c r="J705" s="86">
        <f>+MATERIALES!$D$304</f>
        <v>84900</v>
      </c>
      <c r="K705" s="87">
        <v>0.01</v>
      </c>
      <c r="L705" s="88">
        <f>I705*J705*(1+K705)</f>
        <v>4287.45</v>
      </c>
    </row>
    <row r="706" spans="3:15" x14ac:dyDescent="0.25">
      <c r="C706" s="113" t="s">
        <v>725</v>
      </c>
      <c r="D706" s="498" t="str">
        <f>+MATERIALES!B297</f>
        <v xml:space="preserve">unión rápida  D=4" </v>
      </c>
      <c r="E706" s="496"/>
      <c r="F706" s="496"/>
      <c r="G706" s="497"/>
      <c r="H706" s="73" t="str">
        <f>+MATERIALES!C297</f>
        <v>und</v>
      </c>
      <c r="I706" s="91">
        <v>1</v>
      </c>
      <c r="J706" s="86">
        <f>+MATERIALES!D297</f>
        <v>51804</v>
      </c>
      <c r="K706" s="93">
        <v>0</v>
      </c>
      <c r="L706" s="88">
        <f>I706*J706*(1+K706)</f>
        <v>51804</v>
      </c>
    </row>
    <row r="707" spans="3:15" ht="13.5" thickBot="1" x14ac:dyDescent="0.3">
      <c r="C707" s="94"/>
      <c r="D707" s="485" t="s">
        <v>508</v>
      </c>
      <c r="E707" s="485"/>
      <c r="F707" s="485"/>
      <c r="G707" s="485"/>
      <c r="H707" s="485"/>
      <c r="I707" s="485"/>
      <c r="J707" s="485"/>
      <c r="K707" s="485"/>
      <c r="L707" s="84">
        <f>SUM(L703:L706)</f>
        <v>58600.29</v>
      </c>
    </row>
    <row r="708" spans="3:15" ht="13.5" thickBot="1" x14ac:dyDescent="0.3">
      <c r="C708" s="486"/>
      <c r="D708" s="487"/>
      <c r="E708" s="487"/>
      <c r="F708" s="487"/>
      <c r="G708" s="487"/>
      <c r="H708" s="487"/>
      <c r="I708" s="487"/>
      <c r="J708" s="487"/>
      <c r="K708" s="487"/>
      <c r="L708" s="488"/>
    </row>
    <row r="709" spans="3:15" x14ac:dyDescent="0.25">
      <c r="C709" s="466" t="s">
        <v>509</v>
      </c>
      <c r="D709" s="467"/>
      <c r="E709" s="467"/>
      <c r="F709" s="467"/>
      <c r="G709" s="467"/>
      <c r="H709" s="467"/>
      <c r="I709" s="467"/>
      <c r="J709" s="467"/>
      <c r="K709" s="467"/>
      <c r="L709" s="468"/>
    </row>
    <row r="710" spans="3:15" x14ac:dyDescent="0.25">
      <c r="C710" s="72" t="s">
        <v>66</v>
      </c>
      <c r="D710" s="492" t="s">
        <v>498</v>
      </c>
      <c r="E710" s="492"/>
      <c r="F710" s="492"/>
      <c r="G710" s="492"/>
      <c r="H710" s="73" t="s">
        <v>506</v>
      </c>
      <c r="I710" s="73" t="s">
        <v>499</v>
      </c>
      <c r="J710" s="74" t="s">
        <v>510</v>
      </c>
      <c r="K710" s="85" t="s">
        <v>511</v>
      </c>
      <c r="L710" s="70" t="s">
        <v>502</v>
      </c>
    </row>
    <row r="711" spans="3:15" x14ac:dyDescent="0.25">
      <c r="C711" s="90"/>
      <c r="D711" s="494"/>
      <c r="E711" s="494"/>
      <c r="F711" s="494"/>
      <c r="G711" s="494"/>
      <c r="H711" s="76"/>
      <c r="I711" s="97"/>
      <c r="J711" s="97"/>
      <c r="K711" s="95"/>
      <c r="L711" s="96"/>
    </row>
    <row r="712" spans="3:15" x14ac:dyDescent="0.25">
      <c r="C712" s="90"/>
      <c r="D712" s="495"/>
      <c r="E712" s="495"/>
      <c r="F712" s="495"/>
      <c r="G712" s="495"/>
      <c r="H712" s="76"/>
      <c r="I712" s="97"/>
      <c r="J712" s="97"/>
      <c r="K712" s="95"/>
      <c r="L712" s="96"/>
    </row>
    <row r="713" spans="3:15" x14ac:dyDescent="0.25">
      <c r="C713" s="90"/>
      <c r="D713" s="495"/>
      <c r="E713" s="495"/>
      <c r="F713" s="495"/>
      <c r="G713" s="495"/>
      <c r="H713" s="76"/>
      <c r="I713" s="97"/>
      <c r="J713" s="97"/>
      <c r="K713" s="95"/>
      <c r="L713" s="96"/>
    </row>
    <row r="714" spans="3:15" ht="13.5" thickBot="1" x14ac:dyDescent="0.3">
      <c r="C714" s="83"/>
      <c r="D714" s="485" t="s">
        <v>512</v>
      </c>
      <c r="E714" s="485"/>
      <c r="F714" s="485"/>
      <c r="G714" s="485"/>
      <c r="H714" s="485"/>
      <c r="I714" s="485"/>
      <c r="J714" s="485"/>
      <c r="K714" s="485"/>
      <c r="L714" s="98">
        <f>L711</f>
        <v>0</v>
      </c>
    </row>
    <row r="715" spans="3:15" ht="13.5" thickBot="1" x14ac:dyDescent="0.3">
      <c r="C715" s="477"/>
      <c r="D715" s="478"/>
      <c r="E715" s="478"/>
      <c r="F715" s="478"/>
      <c r="G715" s="478"/>
      <c r="H715" s="478"/>
      <c r="I715" s="478"/>
      <c r="J715" s="478"/>
      <c r="K715" s="478"/>
      <c r="L715" s="479"/>
      <c r="O715" s="119">
        <f>72600-(L721+L699+L703+L704+L705)</f>
        <v>51804.428273625002</v>
      </c>
    </row>
    <row r="716" spans="3:15" x14ac:dyDescent="0.25">
      <c r="C716" s="466" t="s">
        <v>513</v>
      </c>
      <c r="D716" s="467"/>
      <c r="E716" s="467"/>
      <c r="F716" s="467"/>
      <c r="G716" s="467"/>
      <c r="H716" s="467"/>
      <c r="I716" s="467"/>
      <c r="J716" s="467"/>
      <c r="K716" s="467"/>
      <c r="L716" s="468"/>
    </row>
    <row r="717" spans="3:15" x14ac:dyDescent="0.25">
      <c r="C717" s="72" t="s">
        <v>66</v>
      </c>
      <c r="D717" s="492" t="s">
        <v>498</v>
      </c>
      <c r="E717" s="492"/>
      <c r="F717" s="85" t="s">
        <v>499</v>
      </c>
      <c r="G717" s="85" t="s">
        <v>506</v>
      </c>
      <c r="H717" s="73" t="s">
        <v>514</v>
      </c>
      <c r="I717" s="99" t="s">
        <v>515</v>
      </c>
      <c r="J717" s="85" t="s">
        <v>516</v>
      </c>
      <c r="K717" s="99" t="s">
        <v>517</v>
      </c>
      <c r="L717" s="100" t="s">
        <v>502</v>
      </c>
    </row>
    <row r="718" spans="3:15" x14ac:dyDescent="0.25">
      <c r="C718" s="79" t="s">
        <v>519</v>
      </c>
      <c r="D718" s="460" t="str">
        <f>'MANO DE OBRA'!$B$3</f>
        <v>Ayudante</v>
      </c>
      <c r="E718" s="461"/>
      <c r="F718" s="97" t="str">
        <f>'MANO DE OBRA'!$C$2</f>
        <v>DIA</v>
      </c>
      <c r="G718" s="76">
        <v>2</v>
      </c>
      <c r="H718" s="101">
        <f>'MANO DE OBRA'!$D$3</f>
        <v>28981.77</v>
      </c>
      <c r="I718" s="102">
        <v>0.75649999999999995</v>
      </c>
      <c r="J718" s="103">
        <f>(H718+(H718*I718))</f>
        <v>50906.479005000001</v>
      </c>
      <c r="K718" s="76">
        <v>8</v>
      </c>
      <c r="L718" s="96">
        <f>G718*(J718/K718)</f>
        <v>12726.61975125</v>
      </c>
    </row>
    <row r="719" spans="3:15" x14ac:dyDescent="0.25">
      <c r="C719" s="79"/>
      <c r="D719" s="460"/>
      <c r="E719" s="461"/>
      <c r="F719" s="97"/>
      <c r="G719" s="76"/>
      <c r="H719" s="101"/>
      <c r="I719" s="102"/>
      <c r="J719" s="103"/>
      <c r="K719" s="76"/>
      <c r="L719" s="96"/>
    </row>
    <row r="720" spans="3:15" x14ac:dyDescent="0.25">
      <c r="C720" s="90"/>
      <c r="D720" s="493"/>
      <c r="E720" s="493"/>
      <c r="F720" s="97"/>
      <c r="G720" s="76"/>
      <c r="H720" s="101"/>
      <c r="I720" s="102"/>
      <c r="J720" s="103"/>
      <c r="K720" s="76"/>
      <c r="L720" s="96"/>
    </row>
    <row r="721" spans="3:12" ht="13.5" thickBot="1" x14ac:dyDescent="0.3">
      <c r="C721" s="83"/>
      <c r="D721" s="485" t="s">
        <v>520</v>
      </c>
      <c r="E721" s="485"/>
      <c r="F721" s="485"/>
      <c r="G721" s="485"/>
      <c r="H721" s="485"/>
      <c r="I721" s="485"/>
      <c r="J721" s="485"/>
      <c r="K721" s="485"/>
      <c r="L721" s="98">
        <f>L719+L718</f>
        <v>12726.61975125</v>
      </c>
    </row>
    <row r="722" spans="3:12" ht="13.5" thickBot="1" x14ac:dyDescent="0.3">
      <c r="C722" s="486"/>
      <c r="D722" s="487"/>
      <c r="E722" s="487"/>
      <c r="F722" s="487"/>
      <c r="G722" s="487"/>
      <c r="H722" s="487"/>
      <c r="I722" s="487"/>
      <c r="J722" s="487"/>
      <c r="K722" s="487"/>
      <c r="L722" s="488"/>
    </row>
    <row r="723" spans="3:12" ht="13.5" thickBot="1" x14ac:dyDescent="0.3">
      <c r="C723" s="489" t="s">
        <v>521</v>
      </c>
      <c r="D723" s="490"/>
      <c r="E723" s="490"/>
      <c r="F723" s="490"/>
      <c r="G723" s="490"/>
      <c r="H723" s="490"/>
      <c r="I723" s="490"/>
      <c r="J723" s="491"/>
      <c r="K723" s="145">
        <f>ROUND(L721+L714+L707+L699,0)</f>
        <v>72600</v>
      </c>
      <c r="L723" s="146"/>
    </row>
    <row r="725" spans="3:12" ht="13.5" thickBot="1" x14ac:dyDescent="0.3"/>
    <row r="726" spans="3:12" x14ac:dyDescent="0.25">
      <c r="C726" s="466" t="s">
        <v>495</v>
      </c>
      <c r="D726" s="467"/>
      <c r="E726" s="467"/>
      <c r="F726" s="467"/>
      <c r="G726" s="467"/>
      <c r="H726" s="467"/>
      <c r="I726" s="467"/>
      <c r="J726" s="467"/>
      <c r="K726" s="467"/>
      <c r="L726" s="468"/>
    </row>
    <row r="727" spans="3:12" ht="12.75" customHeight="1" x14ac:dyDescent="0.25">
      <c r="C727" s="469" t="str">
        <f>+PPTO!$A$2</f>
        <v>REPOSICION E INSTALACION VALVULAS DE SECTORIZACION EN DIFERENTES SECTORES DEL MUNICIPIO DE PIEDECUESTA - SANTANDER.</v>
      </c>
      <c r="D727" s="470"/>
      <c r="E727" s="470"/>
      <c r="F727" s="470"/>
      <c r="G727" s="470"/>
      <c r="H727" s="470"/>
      <c r="I727" s="470"/>
      <c r="J727" s="470"/>
      <c r="K727" s="470"/>
      <c r="L727" s="471"/>
    </row>
    <row r="728" spans="3:12" x14ac:dyDescent="0.25">
      <c r="C728" s="472" t="s">
        <v>496</v>
      </c>
      <c r="D728" s="141">
        <f>+PPTO!$A$20</f>
        <v>4</v>
      </c>
      <c r="E728" s="474" t="str">
        <f>+PPTO!$B$20</f>
        <v>SUMINISTRO E INSTALACION DE TUBERIAS Y ACCESORIOS.</v>
      </c>
      <c r="F728" s="475"/>
      <c r="G728" s="475"/>
      <c r="H728" s="475"/>
      <c r="I728" s="475"/>
      <c r="J728" s="475"/>
      <c r="K728" s="475"/>
      <c r="L728" s="70" t="s">
        <v>52</v>
      </c>
    </row>
    <row r="729" spans="3:12" ht="13.5" thickBot="1" x14ac:dyDescent="0.3">
      <c r="C729" s="473"/>
      <c r="D729" s="120">
        <f>+PPTO!A31</f>
        <v>4.1100000000000003</v>
      </c>
      <c r="E729" s="476" t="str">
        <f>+PPTO!B31</f>
        <v xml:space="preserve">Suministro e instalación unión rápida  D=6" </v>
      </c>
      <c r="F729" s="476"/>
      <c r="G729" s="476"/>
      <c r="H729" s="476"/>
      <c r="I729" s="476"/>
      <c r="J729" s="476"/>
      <c r="K729" s="476"/>
      <c r="L729" s="71" t="str">
        <f>+PPTO!C31</f>
        <v>UND</v>
      </c>
    </row>
    <row r="730" spans="3:12" ht="13.5" thickBot="1" x14ac:dyDescent="0.3">
      <c r="C730" s="477"/>
      <c r="D730" s="478"/>
      <c r="E730" s="478"/>
      <c r="F730" s="478"/>
      <c r="G730" s="478"/>
      <c r="H730" s="478"/>
      <c r="I730" s="478"/>
      <c r="J730" s="478"/>
      <c r="K730" s="478"/>
      <c r="L730" s="479"/>
    </row>
    <row r="731" spans="3:12" x14ac:dyDescent="0.25">
      <c r="C731" s="466" t="s">
        <v>497</v>
      </c>
      <c r="D731" s="467"/>
      <c r="E731" s="467"/>
      <c r="F731" s="467"/>
      <c r="G731" s="467"/>
      <c r="H731" s="467"/>
      <c r="I731" s="467"/>
      <c r="J731" s="467"/>
      <c r="K731" s="467"/>
      <c r="L731" s="468"/>
    </row>
    <row r="732" spans="3:12" x14ac:dyDescent="0.25">
      <c r="C732" s="72" t="s">
        <v>66</v>
      </c>
      <c r="D732" s="492" t="s">
        <v>498</v>
      </c>
      <c r="E732" s="492"/>
      <c r="F732" s="492"/>
      <c r="G732" s="492"/>
      <c r="H732" s="492"/>
      <c r="I732" s="73" t="s">
        <v>499</v>
      </c>
      <c r="J732" s="74" t="s">
        <v>500</v>
      </c>
      <c r="K732" s="73" t="s">
        <v>501</v>
      </c>
      <c r="L732" s="70" t="s">
        <v>502</v>
      </c>
    </row>
    <row r="733" spans="3:12" x14ac:dyDescent="0.25">
      <c r="C733" s="75"/>
      <c r="D733" s="460"/>
      <c r="E733" s="499"/>
      <c r="F733" s="499"/>
      <c r="G733" s="499"/>
      <c r="H733" s="461"/>
      <c r="I733" s="76"/>
      <c r="J733" s="76"/>
      <c r="K733" s="77"/>
      <c r="L733" s="78"/>
    </row>
    <row r="734" spans="3:12" x14ac:dyDescent="0.25">
      <c r="C734" s="75"/>
      <c r="D734" s="493"/>
      <c r="E734" s="493"/>
      <c r="F734" s="493"/>
      <c r="G734" s="493"/>
      <c r="H734" s="493"/>
      <c r="I734" s="76"/>
      <c r="J734" s="80"/>
      <c r="K734" s="81"/>
      <c r="L734" s="78"/>
    </row>
    <row r="735" spans="3:12" x14ac:dyDescent="0.25">
      <c r="C735" s="79"/>
      <c r="D735" s="493" t="s">
        <v>503</v>
      </c>
      <c r="E735" s="493"/>
      <c r="F735" s="493"/>
      <c r="G735" s="493"/>
      <c r="H735" s="493"/>
      <c r="I735" s="76" t="s">
        <v>61</v>
      </c>
      <c r="J735" s="80">
        <v>1</v>
      </c>
      <c r="K735" s="81">
        <f>L758*0.1</f>
        <v>1696.8826335000003</v>
      </c>
      <c r="L735" s="82">
        <f>K735/J735</f>
        <v>1696.8826335000003</v>
      </c>
    </row>
    <row r="736" spans="3:12" ht="13.5" thickBot="1" x14ac:dyDescent="0.3">
      <c r="C736" s="83"/>
      <c r="D736" s="485" t="s">
        <v>504</v>
      </c>
      <c r="E736" s="485"/>
      <c r="F736" s="485"/>
      <c r="G736" s="485"/>
      <c r="H736" s="485"/>
      <c r="I736" s="485"/>
      <c r="J736" s="485"/>
      <c r="K736" s="485"/>
      <c r="L736" s="84">
        <f>SUM(L733:L735)</f>
        <v>1696.8826335000003</v>
      </c>
    </row>
    <row r="737" spans="3:15" ht="13.5" thickBot="1" x14ac:dyDescent="0.3">
      <c r="C737" s="477"/>
      <c r="D737" s="478"/>
      <c r="E737" s="478"/>
      <c r="F737" s="478"/>
      <c r="G737" s="478"/>
      <c r="H737" s="478"/>
      <c r="I737" s="478"/>
      <c r="J737" s="478"/>
      <c r="K737" s="478"/>
      <c r="L737" s="479"/>
    </row>
    <row r="738" spans="3:15" x14ac:dyDescent="0.25">
      <c r="C738" s="466" t="s">
        <v>505</v>
      </c>
      <c r="D738" s="467"/>
      <c r="E738" s="467"/>
      <c r="F738" s="467"/>
      <c r="G738" s="467"/>
      <c r="H738" s="467"/>
      <c r="I738" s="467"/>
      <c r="J738" s="467"/>
      <c r="K738" s="467"/>
      <c r="L738" s="468"/>
    </row>
    <row r="739" spans="3:15" ht="25.5" x14ac:dyDescent="0.25">
      <c r="C739" s="72" t="s">
        <v>66</v>
      </c>
      <c r="D739" s="492" t="s">
        <v>498</v>
      </c>
      <c r="E739" s="492"/>
      <c r="F739" s="492"/>
      <c r="G739" s="492"/>
      <c r="H739" s="73" t="s">
        <v>499</v>
      </c>
      <c r="I739" s="74" t="s">
        <v>506</v>
      </c>
      <c r="J739" s="73" t="s">
        <v>501</v>
      </c>
      <c r="K739" s="85" t="s">
        <v>507</v>
      </c>
      <c r="L739" s="70" t="s">
        <v>502</v>
      </c>
    </row>
    <row r="740" spans="3:15" x14ac:dyDescent="0.25">
      <c r="C740" s="113" t="s">
        <v>731</v>
      </c>
      <c r="D740" s="498" t="str">
        <f>+MATERIALES!$B$302</f>
        <v>Lubricante tarro</v>
      </c>
      <c r="E740" s="496"/>
      <c r="F740" s="496"/>
      <c r="G740" s="497"/>
      <c r="H740" s="73" t="str">
        <f>+MATERIALES!$C$302</f>
        <v>Kg</v>
      </c>
      <c r="I740" s="76">
        <v>0.01</v>
      </c>
      <c r="J740" s="86">
        <f>+MATERIALES!$D$302</f>
        <v>43900</v>
      </c>
      <c r="K740" s="87">
        <v>0.01</v>
      </c>
      <c r="L740" s="88">
        <f>I740*J740*(1+K740)</f>
        <v>443.39</v>
      </c>
    </row>
    <row r="741" spans="3:15" x14ac:dyDescent="0.25">
      <c r="C741" s="90" t="s">
        <v>732</v>
      </c>
      <c r="D741" s="498" t="str">
        <f>+MATERIALES!$B$303</f>
        <v>Limpiador PVC 760 grms</v>
      </c>
      <c r="E741" s="496"/>
      <c r="F741" s="496"/>
      <c r="G741" s="497"/>
      <c r="H741" s="73" t="str">
        <f>+MATERIALES!$C$303</f>
        <v>und</v>
      </c>
      <c r="I741" s="76">
        <v>0.05</v>
      </c>
      <c r="J741" s="86">
        <f>+MATERIALES!$D$303</f>
        <v>40900</v>
      </c>
      <c r="K741" s="87">
        <v>0.01</v>
      </c>
      <c r="L741" s="88">
        <f>I741*J741*(1+K741)</f>
        <v>2065.4499999999998</v>
      </c>
    </row>
    <row r="742" spans="3:15" x14ac:dyDescent="0.25">
      <c r="C742" s="90" t="s">
        <v>733</v>
      </c>
      <c r="D742" s="498" t="str">
        <f>+MATERIALES!$B$304</f>
        <v>Soldadura PVC 1/4 galon</v>
      </c>
      <c r="E742" s="496"/>
      <c r="F742" s="496"/>
      <c r="G742" s="497"/>
      <c r="H742" s="73" t="str">
        <f>+MATERIALES!$C$304</f>
        <v>und</v>
      </c>
      <c r="I742" s="76">
        <v>0.05</v>
      </c>
      <c r="J742" s="86">
        <f>+MATERIALES!$D$304</f>
        <v>84900</v>
      </c>
      <c r="K742" s="87">
        <v>0.01</v>
      </c>
      <c r="L742" s="88">
        <f>I742*J742*(1+K742)</f>
        <v>4287.45</v>
      </c>
    </row>
    <row r="743" spans="3:15" x14ac:dyDescent="0.25">
      <c r="C743" s="113" t="s">
        <v>726</v>
      </c>
      <c r="D743" s="498" t="str">
        <f>+MATERIALES!B298</f>
        <v xml:space="preserve">unión rápida  D=6" </v>
      </c>
      <c r="E743" s="496"/>
      <c r="F743" s="496"/>
      <c r="G743" s="497"/>
      <c r="H743" s="73" t="str">
        <f>+MATERIALES!C298</f>
        <v>und</v>
      </c>
      <c r="I743" s="91">
        <v>1</v>
      </c>
      <c r="J743" s="86">
        <f>+MATERIALES!D298</f>
        <v>161038</v>
      </c>
      <c r="K743" s="93">
        <v>0</v>
      </c>
      <c r="L743" s="88">
        <f>I743*J743*(1+K743)</f>
        <v>161038</v>
      </c>
    </row>
    <row r="744" spans="3:15" ht="13.5" thickBot="1" x14ac:dyDescent="0.3">
      <c r="C744" s="94"/>
      <c r="D744" s="485" t="s">
        <v>508</v>
      </c>
      <c r="E744" s="485"/>
      <c r="F744" s="485"/>
      <c r="G744" s="485"/>
      <c r="H744" s="485"/>
      <c r="I744" s="485"/>
      <c r="J744" s="485"/>
      <c r="K744" s="485"/>
      <c r="L744" s="84">
        <f>SUM(L740:L743)</f>
        <v>167834.29</v>
      </c>
    </row>
    <row r="745" spans="3:15" ht="13.5" thickBot="1" x14ac:dyDescent="0.3">
      <c r="C745" s="486"/>
      <c r="D745" s="487"/>
      <c r="E745" s="487"/>
      <c r="F745" s="487"/>
      <c r="G745" s="487"/>
      <c r="H745" s="487"/>
      <c r="I745" s="487"/>
      <c r="J745" s="487"/>
      <c r="K745" s="487"/>
      <c r="L745" s="488"/>
    </row>
    <row r="746" spans="3:15" x14ac:dyDescent="0.25">
      <c r="C746" s="466" t="s">
        <v>509</v>
      </c>
      <c r="D746" s="467"/>
      <c r="E746" s="467"/>
      <c r="F746" s="467"/>
      <c r="G746" s="467"/>
      <c r="H746" s="467"/>
      <c r="I746" s="467"/>
      <c r="J746" s="467"/>
      <c r="K746" s="467"/>
      <c r="L746" s="468"/>
    </row>
    <row r="747" spans="3:15" x14ac:dyDescent="0.25">
      <c r="C747" s="72" t="s">
        <v>66</v>
      </c>
      <c r="D747" s="492" t="s">
        <v>498</v>
      </c>
      <c r="E747" s="492"/>
      <c r="F747" s="492"/>
      <c r="G747" s="492"/>
      <c r="H747" s="73" t="s">
        <v>506</v>
      </c>
      <c r="I747" s="73" t="s">
        <v>499</v>
      </c>
      <c r="J747" s="74" t="s">
        <v>510</v>
      </c>
      <c r="K747" s="85" t="s">
        <v>511</v>
      </c>
      <c r="L747" s="70" t="s">
        <v>502</v>
      </c>
    </row>
    <row r="748" spans="3:15" x14ac:dyDescent="0.25">
      <c r="C748" s="90"/>
      <c r="D748" s="494"/>
      <c r="E748" s="494"/>
      <c r="F748" s="494"/>
      <c r="G748" s="494"/>
      <c r="H748" s="76"/>
      <c r="I748" s="97"/>
      <c r="J748" s="97"/>
      <c r="K748" s="95"/>
      <c r="L748" s="96"/>
    </row>
    <row r="749" spans="3:15" x14ac:dyDescent="0.25">
      <c r="C749" s="90"/>
      <c r="D749" s="495"/>
      <c r="E749" s="495"/>
      <c r="F749" s="495"/>
      <c r="G749" s="495"/>
      <c r="H749" s="76"/>
      <c r="I749" s="97"/>
      <c r="J749" s="97"/>
      <c r="K749" s="95"/>
      <c r="L749" s="96"/>
    </row>
    <row r="750" spans="3:15" x14ac:dyDescent="0.25">
      <c r="C750" s="90"/>
      <c r="D750" s="495"/>
      <c r="E750" s="495"/>
      <c r="F750" s="495"/>
      <c r="G750" s="495"/>
      <c r="H750" s="76"/>
      <c r="I750" s="97"/>
      <c r="J750" s="97"/>
      <c r="K750" s="95"/>
      <c r="L750" s="96"/>
    </row>
    <row r="751" spans="3:15" ht="13.5" thickBot="1" x14ac:dyDescent="0.3">
      <c r="C751" s="83"/>
      <c r="D751" s="485" t="s">
        <v>512</v>
      </c>
      <c r="E751" s="485"/>
      <c r="F751" s="485"/>
      <c r="G751" s="485"/>
      <c r="H751" s="485"/>
      <c r="I751" s="485"/>
      <c r="J751" s="485"/>
      <c r="K751" s="485"/>
      <c r="L751" s="98">
        <f>L748</f>
        <v>0</v>
      </c>
    </row>
    <row r="752" spans="3:15" ht="13.5" thickBot="1" x14ac:dyDescent="0.3">
      <c r="C752" s="477"/>
      <c r="D752" s="478"/>
      <c r="E752" s="478"/>
      <c r="F752" s="478"/>
      <c r="G752" s="478"/>
      <c r="H752" s="478"/>
      <c r="I752" s="478"/>
      <c r="J752" s="478"/>
      <c r="K752" s="478"/>
      <c r="L752" s="479"/>
      <c r="O752" s="119">
        <f>186500-(L758+L736+L740+L741+L742)</f>
        <v>161038.0010315</v>
      </c>
    </row>
    <row r="753" spans="3:12" x14ac:dyDescent="0.25">
      <c r="C753" s="466" t="s">
        <v>513</v>
      </c>
      <c r="D753" s="467"/>
      <c r="E753" s="467"/>
      <c r="F753" s="467"/>
      <c r="G753" s="467"/>
      <c r="H753" s="467"/>
      <c r="I753" s="467"/>
      <c r="J753" s="467"/>
      <c r="K753" s="467"/>
      <c r="L753" s="468"/>
    </row>
    <row r="754" spans="3:12" x14ac:dyDescent="0.25">
      <c r="C754" s="72" t="s">
        <v>66</v>
      </c>
      <c r="D754" s="492" t="s">
        <v>498</v>
      </c>
      <c r="E754" s="492"/>
      <c r="F754" s="85" t="s">
        <v>499</v>
      </c>
      <c r="G754" s="85" t="s">
        <v>506</v>
      </c>
      <c r="H754" s="73" t="s">
        <v>514</v>
      </c>
      <c r="I754" s="99" t="s">
        <v>515</v>
      </c>
      <c r="J754" s="85" t="s">
        <v>516</v>
      </c>
      <c r="K754" s="99" t="s">
        <v>517</v>
      </c>
      <c r="L754" s="100" t="s">
        <v>502</v>
      </c>
    </row>
    <row r="755" spans="3:12" x14ac:dyDescent="0.25">
      <c r="C755" s="79" t="s">
        <v>519</v>
      </c>
      <c r="D755" s="460" t="str">
        <f>'MANO DE OBRA'!$B$3</f>
        <v>Ayudante</v>
      </c>
      <c r="E755" s="461"/>
      <c r="F755" s="97" t="str">
        <f>'MANO DE OBRA'!$C$2</f>
        <v>DIA</v>
      </c>
      <c r="G755" s="76">
        <v>2</v>
      </c>
      <c r="H755" s="101">
        <f>'MANO DE OBRA'!$D$3</f>
        <v>28981.77</v>
      </c>
      <c r="I755" s="102">
        <v>0.75649999999999995</v>
      </c>
      <c r="J755" s="103">
        <f>(H755+(H755*I755))</f>
        <v>50906.479005000001</v>
      </c>
      <c r="K755" s="76">
        <v>6</v>
      </c>
      <c r="L755" s="96">
        <f>G755*(J755/K755)</f>
        <v>16968.826335000002</v>
      </c>
    </row>
    <row r="756" spans="3:12" x14ac:dyDescent="0.25">
      <c r="C756" s="79"/>
      <c r="D756" s="460"/>
      <c r="E756" s="461"/>
      <c r="F756" s="97"/>
      <c r="G756" s="76"/>
      <c r="H756" s="101"/>
      <c r="I756" s="102"/>
      <c r="J756" s="103"/>
      <c r="K756" s="76"/>
      <c r="L756" s="96"/>
    </row>
    <row r="757" spans="3:12" x14ac:dyDescent="0.25">
      <c r="C757" s="90"/>
      <c r="D757" s="493"/>
      <c r="E757" s="493"/>
      <c r="F757" s="97"/>
      <c r="G757" s="76"/>
      <c r="H757" s="101"/>
      <c r="I757" s="102"/>
      <c r="J757" s="103"/>
      <c r="K757" s="76"/>
      <c r="L757" s="96"/>
    </row>
    <row r="758" spans="3:12" ht="13.5" thickBot="1" x14ac:dyDescent="0.3">
      <c r="C758" s="83"/>
      <c r="D758" s="485" t="s">
        <v>520</v>
      </c>
      <c r="E758" s="485"/>
      <c r="F758" s="485"/>
      <c r="G758" s="485"/>
      <c r="H758" s="485"/>
      <c r="I758" s="485"/>
      <c r="J758" s="485"/>
      <c r="K758" s="485"/>
      <c r="L758" s="98">
        <f>L756+L755</f>
        <v>16968.826335000002</v>
      </c>
    </row>
    <row r="759" spans="3:12" ht="13.5" thickBot="1" x14ac:dyDescent="0.3">
      <c r="C759" s="486"/>
      <c r="D759" s="487"/>
      <c r="E759" s="487"/>
      <c r="F759" s="487"/>
      <c r="G759" s="487"/>
      <c r="H759" s="487"/>
      <c r="I759" s="487"/>
      <c r="J759" s="487"/>
      <c r="K759" s="487"/>
      <c r="L759" s="488"/>
    </row>
    <row r="760" spans="3:12" ht="13.5" thickBot="1" x14ac:dyDescent="0.3">
      <c r="C760" s="489" t="s">
        <v>521</v>
      </c>
      <c r="D760" s="490"/>
      <c r="E760" s="490"/>
      <c r="F760" s="490"/>
      <c r="G760" s="490"/>
      <c r="H760" s="490"/>
      <c r="I760" s="490"/>
      <c r="J760" s="491"/>
      <c r="K760" s="145">
        <f>ROUND(L758+L751+L744+L736,0)</f>
        <v>186500</v>
      </c>
      <c r="L760" s="146"/>
    </row>
    <row r="762" spans="3:12" ht="13.5" thickBot="1" x14ac:dyDescent="0.3"/>
    <row r="763" spans="3:12" x14ac:dyDescent="0.25">
      <c r="C763" s="466" t="s">
        <v>495</v>
      </c>
      <c r="D763" s="467"/>
      <c r="E763" s="467"/>
      <c r="F763" s="467"/>
      <c r="G763" s="467"/>
      <c r="H763" s="467"/>
      <c r="I763" s="467"/>
      <c r="J763" s="467"/>
      <c r="K763" s="467"/>
      <c r="L763" s="468"/>
    </row>
    <row r="764" spans="3:12" ht="12.75" customHeight="1" x14ac:dyDescent="0.25">
      <c r="C764" s="469" t="str">
        <f>+PPTO!$A$2</f>
        <v>REPOSICION E INSTALACION VALVULAS DE SECTORIZACION EN DIFERENTES SECTORES DEL MUNICIPIO DE PIEDECUESTA - SANTANDER.</v>
      </c>
      <c r="D764" s="470"/>
      <c r="E764" s="470"/>
      <c r="F764" s="470"/>
      <c r="G764" s="470"/>
      <c r="H764" s="470"/>
      <c r="I764" s="470"/>
      <c r="J764" s="470"/>
      <c r="K764" s="470"/>
      <c r="L764" s="471"/>
    </row>
    <row r="765" spans="3:12" x14ac:dyDescent="0.25">
      <c r="C765" s="472" t="s">
        <v>496</v>
      </c>
      <c r="D765" s="141">
        <f>+PPTO!$A$20</f>
        <v>4</v>
      </c>
      <c r="E765" s="474" t="str">
        <f>+PPTO!$B$20</f>
        <v>SUMINISTRO E INSTALACION DE TUBERIAS Y ACCESORIOS.</v>
      </c>
      <c r="F765" s="475"/>
      <c r="G765" s="475"/>
      <c r="H765" s="475"/>
      <c r="I765" s="475"/>
      <c r="J765" s="475"/>
      <c r="K765" s="475"/>
      <c r="L765" s="70" t="s">
        <v>52</v>
      </c>
    </row>
    <row r="766" spans="3:12" ht="13.5" thickBot="1" x14ac:dyDescent="0.3">
      <c r="C766" s="473"/>
      <c r="D766" s="120">
        <f>+PPTO!A32</f>
        <v>4.12</v>
      </c>
      <c r="E766" s="476" t="str">
        <f>+PPTO!B32</f>
        <v xml:space="preserve">Suministro e instalación unión rápida  D=8" </v>
      </c>
      <c r="F766" s="476"/>
      <c r="G766" s="476"/>
      <c r="H766" s="476"/>
      <c r="I766" s="476"/>
      <c r="J766" s="476"/>
      <c r="K766" s="476"/>
      <c r="L766" s="71" t="str">
        <f>+PPTO!C32</f>
        <v>UND</v>
      </c>
    </row>
    <row r="767" spans="3:12" ht="13.5" thickBot="1" x14ac:dyDescent="0.3">
      <c r="C767" s="477"/>
      <c r="D767" s="478"/>
      <c r="E767" s="478"/>
      <c r="F767" s="478"/>
      <c r="G767" s="478"/>
      <c r="H767" s="478"/>
      <c r="I767" s="478"/>
      <c r="J767" s="478"/>
      <c r="K767" s="478"/>
      <c r="L767" s="479"/>
    </row>
    <row r="768" spans="3:12" x14ac:dyDescent="0.25">
      <c r="C768" s="466" t="s">
        <v>497</v>
      </c>
      <c r="D768" s="467"/>
      <c r="E768" s="467"/>
      <c r="F768" s="467"/>
      <c r="G768" s="467"/>
      <c r="H768" s="467"/>
      <c r="I768" s="467"/>
      <c r="J768" s="467"/>
      <c r="K768" s="467"/>
      <c r="L768" s="468"/>
    </row>
    <row r="769" spans="3:12" x14ac:dyDescent="0.25">
      <c r="C769" s="72" t="s">
        <v>66</v>
      </c>
      <c r="D769" s="492" t="s">
        <v>498</v>
      </c>
      <c r="E769" s="492"/>
      <c r="F769" s="492"/>
      <c r="G769" s="492"/>
      <c r="H769" s="492"/>
      <c r="I769" s="73" t="s">
        <v>499</v>
      </c>
      <c r="J769" s="74" t="s">
        <v>500</v>
      </c>
      <c r="K769" s="73" t="s">
        <v>501</v>
      </c>
      <c r="L769" s="70" t="s">
        <v>502</v>
      </c>
    </row>
    <row r="770" spans="3:12" x14ac:dyDescent="0.25">
      <c r="C770" s="75"/>
      <c r="D770" s="460"/>
      <c r="E770" s="499"/>
      <c r="F770" s="499"/>
      <c r="G770" s="499"/>
      <c r="H770" s="461"/>
      <c r="I770" s="76"/>
      <c r="J770" s="76"/>
      <c r="K770" s="77"/>
      <c r="L770" s="78"/>
    </row>
    <row r="771" spans="3:12" x14ac:dyDescent="0.25">
      <c r="C771" s="75"/>
      <c r="D771" s="493"/>
      <c r="E771" s="493"/>
      <c r="F771" s="493"/>
      <c r="G771" s="493"/>
      <c r="H771" s="493"/>
      <c r="I771" s="76"/>
      <c r="J771" s="80"/>
      <c r="K771" s="81"/>
      <c r="L771" s="78"/>
    </row>
    <row r="772" spans="3:12" x14ac:dyDescent="0.25">
      <c r="C772" s="79"/>
      <c r="D772" s="493" t="s">
        <v>503</v>
      </c>
      <c r="E772" s="493"/>
      <c r="F772" s="493"/>
      <c r="G772" s="493"/>
      <c r="H772" s="493"/>
      <c r="I772" s="76" t="s">
        <v>61</v>
      </c>
      <c r="J772" s="80">
        <v>1</v>
      </c>
      <c r="K772" s="81">
        <f>L795*0.1</f>
        <v>2036.2591602000002</v>
      </c>
      <c r="L772" s="82">
        <f>K772/J772</f>
        <v>2036.2591602000002</v>
      </c>
    </row>
    <row r="773" spans="3:12" ht="13.5" thickBot="1" x14ac:dyDescent="0.3">
      <c r="C773" s="83"/>
      <c r="D773" s="485" t="s">
        <v>504</v>
      </c>
      <c r="E773" s="485"/>
      <c r="F773" s="485"/>
      <c r="G773" s="485"/>
      <c r="H773" s="485"/>
      <c r="I773" s="485"/>
      <c r="J773" s="485"/>
      <c r="K773" s="485"/>
      <c r="L773" s="84">
        <f>SUM(L770:L772)</f>
        <v>2036.2591602000002</v>
      </c>
    </row>
    <row r="774" spans="3:12" ht="13.5" thickBot="1" x14ac:dyDescent="0.3">
      <c r="C774" s="477"/>
      <c r="D774" s="478"/>
      <c r="E774" s="478"/>
      <c r="F774" s="478"/>
      <c r="G774" s="478"/>
      <c r="H774" s="478"/>
      <c r="I774" s="478"/>
      <c r="J774" s="478"/>
      <c r="K774" s="478"/>
      <c r="L774" s="479"/>
    </row>
    <row r="775" spans="3:12" x14ac:dyDescent="0.25">
      <c r="C775" s="466" t="s">
        <v>505</v>
      </c>
      <c r="D775" s="467"/>
      <c r="E775" s="467"/>
      <c r="F775" s="467"/>
      <c r="G775" s="467"/>
      <c r="H775" s="467"/>
      <c r="I775" s="467"/>
      <c r="J775" s="467"/>
      <c r="K775" s="467"/>
      <c r="L775" s="468"/>
    </row>
    <row r="776" spans="3:12" ht="25.5" x14ac:dyDescent="0.25">
      <c r="C776" s="72" t="s">
        <v>66</v>
      </c>
      <c r="D776" s="492" t="s">
        <v>498</v>
      </c>
      <c r="E776" s="492"/>
      <c r="F776" s="492"/>
      <c r="G776" s="492"/>
      <c r="H776" s="73" t="s">
        <v>499</v>
      </c>
      <c r="I776" s="74" t="s">
        <v>506</v>
      </c>
      <c r="J776" s="73" t="s">
        <v>501</v>
      </c>
      <c r="K776" s="85" t="s">
        <v>507</v>
      </c>
      <c r="L776" s="70" t="s">
        <v>502</v>
      </c>
    </row>
    <row r="777" spans="3:12" x14ac:dyDescent="0.25">
      <c r="C777" s="113" t="s">
        <v>731</v>
      </c>
      <c r="D777" s="498" t="str">
        <f>+MATERIALES!$B$302</f>
        <v>Lubricante tarro</v>
      </c>
      <c r="E777" s="496"/>
      <c r="F777" s="496"/>
      <c r="G777" s="497"/>
      <c r="H777" s="73" t="str">
        <f>+MATERIALES!$C$302</f>
        <v>Kg</v>
      </c>
      <c r="I777" s="76">
        <v>0.01</v>
      </c>
      <c r="J777" s="86">
        <f>+MATERIALES!$D$302</f>
        <v>43900</v>
      </c>
      <c r="K777" s="87">
        <v>0.01</v>
      </c>
      <c r="L777" s="88">
        <f>I777*J777*(1+K777)</f>
        <v>443.39</v>
      </c>
    </row>
    <row r="778" spans="3:12" x14ac:dyDescent="0.25">
      <c r="C778" s="90" t="s">
        <v>732</v>
      </c>
      <c r="D778" s="498" t="str">
        <f>+MATERIALES!$B$303</f>
        <v>Limpiador PVC 760 grms</v>
      </c>
      <c r="E778" s="496"/>
      <c r="F778" s="496"/>
      <c r="G778" s="497"/>
      <c r="H778" s="73" t="str">
        <f>+MATERIALES!$C$303</f>
        <v>und</v>
      </c>
      <c r="I778" s="76">
        <v>0.05</v>
      </c>
      <c r="J778" s="86">
        <f>+MATERIALES!$D$303</f>
        <v>40900</v>
      </c>
      <c r="K778" s="87">
        <v>0.01</v>
      </c>
      <c r="L778" s="88">
        <f>I778*J778*(1+K778)</f>
        <v>2065.4499999999998</v>
      </c>
    </row>
    <row r="779" spans="3:12" x14ac:dyDescent="0.25">
      <c r="C779" s="90" t="s">
        <v>733</v>
      </c>
      <c r="D779" s="498" t="str">
        <f>+MATERIALES!$B$304</f>
        <v>Soldadura PVC 1/4 galon</v>
      </c>
      <c r="E779" s="496"/>
      <c r="F779" s="496"/>
      <c r="G779" s="497"/>
      <c r="H779" s="73" t="str">
        <f>+MATERIALES!$C$304</f>
        <v>und</v>
      </c>
      <c r="I779" s="76">
        <v>0.05</v>
      </c>
      <c r="J779" s="86">
        <f>+MATERIALES!$D$304</f>
        <v>84900</v>
      </c>
      <c r="K779" s="87">
        <v>0.01</v>
      </c>
      <c r="L779" s="88">
        <f>I779*J779*(1+K779)</f>
        <v>4287.45</v>
      </c>
    </row>
    <row r="780" spans="3:12" x14ac:dyDescent="0.25">
      <c r="C780" s="113" t="s">
        <v>727</v>
      </c>
      <c r="D780" s="498" t="str">
        <f>+MATERIALES!B299</f>
        <v xml:space="preserve">unión rápida  D=8" </v>
      </c>
      <c r="E780" s="496"/>
      <c r="F780" s="496"/>
      <c r="G780" s="497"/>
      <c r="H780" s="73" t="str">
        <f>+MATERIALES!C299</f>
        <v>und</v>
      </c>
      <c r="I780" s="91">
        <v>1</v>
      </c>
      <c r="J780" s="86">
        <f>+MATERIALES!D299</f>
        <v>313505</v>
      </c>
      <c r="K780" s="93">
        <v>0</v>
      </c>
      <c r="L780" s="88">
        <f>I780*J780*(1+K780)</f>
        <v>313505</v>
      </c>
    </row>
    <row r="781" spans="3:12" ht="13.5" thickBot="1" x14ac:dyDescent="0.3">
      <c r="C781" s="94"/>
      <c r="D781" s="485" t="s">
        <v>508</v>
      </c>
      <c r="E781" s="485"/>
      <c r="F781" s="485"/>
      <c r="G781" s="485"/>
      <c r="H781" s="485"/>
      <c r="I781" s="485"/>
      <c r="J781" s="485"/>
      <c r="K781" s="485"/>
      <c r="L781" s="84">
        <f>SUM(L777:L780)</f>
        <v>320301.28999999998</v>
      </c>
    </row>
    <row r="782" spans="3:12" ht="13.5" thickBot="1" x14ac:dyDescent="0.3">
      <c r="C782" s="486"/>
      <c r="D782" s="487"/>
      <c r="E782" s="487"/>
      <c r="F782" s="487"/>
      <c r="G782" s="487"/>
      <c r="H782" s="487"/>
      <c r="I782" s="487"/>
      <c r="J782" s="487"/>
      <c r="K782" s="487"/>
      <c r="L782" s="488"/>
    </row>
    <row r="783" spans="3:12" x14ac:dyDescent="0.25">
      <c r="C783" s="466" t="s">
        <v>509</v>
      </c>
      <c r="D783" s="467"/>
      <c r="E783" s="467"/>
      <c r="F783" s="467"/>
      <c r="G783" s="467"/>
      <c r="H783" s="467"/>
      <c r="I783" s="467"/>
      <c r="J783" s="467"/>
      <c r="K783" s="467"/>
      <c r="L783" s="468"/>
    </row>
    <row r="784" spans="3:12" x14ac:dyDescent="0.25">
      <c r="C784" s="72" t="s">
        <v>66</v>
      </c>
      <c r="D784" s="492" t="s">
        <v>498</v>
      </c>
      <c r="E784" s="492"/>
      <c r="F784" s="492"/>
      <c r="G784" s="492"/>
      <c r="H784" s="73" t="s">
        <v>506</v>
      </c>
      <c r="I784" s="73" t="s">
        <v>499</v>
      </c>
      <c r="J784" s="74" t="s">
        <v>510</v>
      </c>
      <c r="K784" s="85" t="s">
        <v>511</v>
      </c>
      <c r="L784" s="70" t="s">
        <v>502</v>
      </c>
    </row>
    <row r="785" spans="3:15" x14ac:dyDescent="0.25">
      <c r="C785" s="90"/>
      <c r="D785" s="494"/>
      <c r="E785" s="494"/>
      <c r="F785" s="494"/>
      <c r="G785" s="494"/>
      <c r="H785" s="76"/>
      <c r="I785" s="97"/>
      <c r="J785" s="97"/>
      <c r="K785" s="95"/>
      <c r="L785" s="96"/>
    </row>
    <row r="786" spans="3:15" x14ac:dyDescent="0.25">
      <c r="C786" s="90"/>
      <c r="D786" s="495"/>
      <c r="E786" s="495"/>
      <c r="F786" s="495"/>
      <c r="G786" s="495"/>
      <c r="H786" s="76"/>
      <c r="I786" s="97"/>
      <c r="J786" s="97"/>
      <c r="K786" s="95"/>
      <c r="L786" s="96"/>
    </row>
    <row r="787" spans="3:15" x14ac:dyDescent="0.25">
      <c r="C787" s="90"/>
      <c r="D787" s="495"/>
      <c r="E787" s="495"/>
      <c r="F787" s="495"/>
      <c r="G787" s="495"/>
      <c r="H787" s="76"/>
      <c r="I787" s="97"/>
      <c r="J787" s="97"/>
      <c r="K787" s="95"/>
      <c r="L787" s="96"/>
    </row>
    <row r="788" spans="3:15" ht="13.5" thickBot="1" x14ac:dyDescent="0.3">
      <c r="C788" s="83"/>
      <c r="D788" s="485" t="s">
        <v>512</v>
      </c>
      <c r="E788" s="485"/>
      <c r="F788" s="485"/>
      <c r="G788" s="485"/>
      <c r="H788" s="485"/>
      <c r="I788" s="485"/>
      <c r="J788" s="485"/>
      <c r="K788" s="485"/>
      <c r="L788" s="98">
        <f>L785</f>
        <v>0</v>
      </c>
    </row>
    <row r="789" spans="3:15" ht="13.5" thickBot="1" x14ac:dyDescent="0.3">
      <c r="C789" s="477"/>
      <c r="D789" s="478"/>
      <c r="E789" s="478"/>
      <c r="F789" s="478"/>
      <c r="G789" s="478"/>
      <c r="H789" s="478"/>
      <c r="I789" s="478"/>
      <c r="J789" s="478"/>
      <c r="K789" s="478"/>
      <c r="L789" s="479"/>
      <c r="O789" s="119">
        <f>342700-(L795+L773+L777+L778+L779)</f>
        <v>313504.8592378</v>
      </c>
    </row>
    <row r="790" spans="3:15" x14ac:dyDescent="0.25">
      <c r="C790" s="466" t="s">
        <v>513</v>
      </c>
      <c r="D790" s="467"/>
      <c r="E790" s="467"/>
      <c r="F790" s="467"/>
      <c r="G790" s="467"/>
      <c r="H790" s="467"/>
      <c r="I790" s="467"/>
      <c r="J790" s="467"/>
      <c r="K790" s="467"/>
      <c r="L790" s="468"/>
    </row>
    <row r="791" spans="3:15" x14ac:dyDescent="0.25">
      <c r="C791" s="72" t="s">
        <v>66</v>
      </c>
      <c r="D791" s="492" t="s">
        <v>498</v>
      </c>
      <c r="E791" s="492"/>
      <c r="F791" s="85" t="s">
        <v>499</v>
      </c>
      <c r="G791" s="85" t="s">
        <v>506</v>
      </c>
      <c r="H791" s="73" t="s">
        <v>514</v>
      </c>
      <c r="I791" s="99" t="s">
        <v>515</v>
      </c>
      <c r="J791" s="85" t="s">
        <v>516</v>
      </c>
      <c r="K791" s="99" t="s">
        <v>517</v>
      </c>
      <c r="L791" s="100" t="s">
        <v>502</v>
      </c>
    </row>
    <row r="792" spans="3:15" x14ac:dyDescent="0.25">
      <c r="C792" s="79" t="s">
        <v>519</v>
      </c>
      <c r="D792" s="460" t="str">
        <f>'MANO DE OBRA'!$B$3</f>
        <v>Ayudante</v>
      </c>
      <c r="E792" s="461"/>
      <c r="F792" s="97" t="str">
        <f>'MANO DE OBRA'!$C$2</f>
        <v>DIA</v>
      </c>
      <c r="G792" s="76">
        <v>2</v>
      </c>
      <c r="H792" s="101">
        <f>'MANO DE OBRA'!$D$3</f>
        <v>28981.77</v>
      </c>
      <c r="I792" s="102">
        <v>0.75649999999999995</v>
      </c>
      <c r="J792" s="103">
        <f>(H792+(H792*I792))</f>
        <v>50906.479005000001</v>
      </c>
      <c r="K792" s="76">
        <v>5</v>
      </c>
      <c r="L792" s="96">
        <f>G792*(J792/K792)</f>
        <v>20362.591602</v>
      </c>
    </row>
    <row r="793" spans="3:15" x14ac:dyDescent="0.25">
      <c r="C793" s="79"/>
      <c r="D793" s="460"/>
      <c r="E793" s="461"/>
      <c r="F793" s="97"/>
      <c r="G793" s="76"/>
      <c r="H793" s="101"/>
      <c r="I793" s="102"/>
      <c r="J793" s="103"/>
      <c r="K793" s="76"/>
      <c r="L793" s="96"/>
    </row>
    <row r="794" spans="3:15" x14ac:dyDescent="0.25">
      <c r="C794" s="90"/>
      <c r="D794" s="493"/>
      <c r="E794" s="493"/>
      <c r="F794" s="97"/>
      <c r="G794" s="76"/>
      <c r="H794" s="101"/>
      <c r="I794" s="102"/>
      <c r="J794" s="103"/>
      <c r="K794" s="76"/>
      <c r="L794" s="96"/>
    </row>
    <row r="795" spans="3:15" ht="13.5" thickBot="1" x14ac:dyDescent="0.3">
      <c r="C795" s="83"/>
      <c r="D795" s="485" t="s">
        <v>520</v>
      </c>
      <c r="E795" s="485"/>
      <c r="F795" s="485"/>
      <c r="G795" s="485"/>
      <c r="H795" s="485"/>
      <c r="I795" s="485"/>
      <c r="J795" s="485"/>
      <c r="K795" s="485"/>
      <c r="L795" s="98">
        <f>L793+L792</f>
        <v>20362.591602</v>
      </c>
    </row>
    <row r="796" spans="3:15" ht="13.5" thickBot="1" x14ac:dyDescent="0.3">
      <c r="C796" s="486"/>
      <c r="D796" s="487"/>
      <c r="E796" s="487"/>
      <c r="F796" s="487"/>
      <c r="G796" s="487"/>
      <c r="H796" s="487"/>
      <c r="I796" s="487"/>
      <c r="J796" s="487"/>
      <c r="K796" s="487"/>
      <c r="L796" s="488"/>
    </row>
    <row r="797" spans="3:15" ht="13.5" thickBot="1" x14ac:dyDescent="0.3">
      <c r="C797" s="489" t="s">
        <v>521</v>
      </c>
      <c r="D797" s="490"/>
      <c r="E797" s="490"/>
      <c r="F797" s="490"/>
      <c r="G797" s="490"/>
      <c r="H797" s="490"/>
      <c r="I797" s="490"/>
      <c r="J797" s="491"/>
      <c r="K797" s="145">
        <f>ROUND(L795+L788+L781+L773,0)</f>
        <v>342700</v>
      </c>
      <c r="L797" s="146"/>
    </row>
    <row r="799" spans="3:15" ht="13.5" thickBot="1" x14ac:dyDescent="0.3"/>
    <row r="800" spans="3:15" x14ac:dyDescent="0.25">
      <c r="C800" s="466" t="s">
        <v>495</v>
      </c>
      <c r="D800" s="467"/>
      <c r="E800" s="467"/>
      <c r="F800" s="467"/>
      <c r="G800" s="467"/>
      <c r="H800" s="467"/>
      <c r="I800" s="467"/>
      <c r="J800" s="467"/>
      <c r="K800" s="467"/>
      <c r="L800" s="468"/>
    </row>
    <row r="801" spans="3:12" ht="12.75" customHeight="1" x14ac:dyDescent="0.25">
      <c r="C801" s="469" t="str">
        <f>+PPTO!$A$2</f>
        <v>REPOSICION E INSTALACION VALVULAS DE SECTORIZACION EN DIFERENTES SECTORES DEL MUNICIPIO DE PIEDECUESTA - SANTANDER.</v>
      </c>
      <c r="D801" s="470"/>
      <c r="E801" s="470"/>
      <c r="F801" s="470"/>
      <c r="G801" s="470"/>
      <c r="H801" s="470"/>
      <c r="I801" s="470"/>
      <c r="J801" s="470"/>
      <c r="K801" s="470"/>
      <c r="L801" s="471"/>
    </row>
    <row r="802" spans="3:12" x14ac:dyDescent="0.25">
      <c r="C802" s="472" t="s">
        <v>496</v>
      </c>
      <c r="D802" s="141">
        <f>+PPTO!$A$20</f>
        <v>4</v>
      </c>
      <c r="E802" s="474" t="str">
        <f>+PPTO!$B$20</f>
        <v>SUMINISTRO E INSTALACION DE TUBERIAS Y ACCESORIOS.</v>
      </c>
      <c r="F802" s="475"/>
      <c r="G802" s="475"/>
      <c r="H802" s="475"/>
      <c r="I802" s="475"/>
      <c r="J802" s="475"/>
      <c r="K802" s="475"/>
      <c r="L802" s="70" t="s">
        <v>52</v>
      </c>
    </row>
    <row r="803" spans="3:12" ht="13.5" thickBot="1" x14ac:dyDescent="0.3">
      <c r="C803" s="473"/>
      <c r="D803" s="120">
        <f>+PPTO!A33</f>
        <v>4.13</v>
      </c>
      <c r="E803" s="476" t="str">
        <f>+PPTO!B33</f>
        <v xml:space="preserve">Suministro e instalación unión rápida  D=10" </v>
      </c>
      <c r="F803" s="476"/>
      <c r="G803" s="476"/>
      <c r="H803" s="476"/>
      <c r="I803" s="476"/>
      <c r="J803" s="476"/>
      <c r="K803" s="476"/>
      <c r="L803" s="71" t="str">
        <f>+PPTO!C33</f>
        <v>UND</v>
      </c>
    </row>
    <row r="804" spans="3:12" ht="13.5" thickBot="1" x14ac:dyDescent="0.3">
      <c r="C804" s="477"/>
      <c r="D804" s="478"/>
      <c r="E804" s="478"/>
      <c r="F804" s="478"/>
      <c r="G804" s="478"/>
      <c r="H804" s="478"/>
      <c r="I804" s="478"/>
      <c r="J804" s="478"/>
      <c r="K804" s="478"/>
      <c r="L804" s="479"/>
    </row>
    <row r="805" spans="3:12" x14ac:dyDescent="0.25">
      <c r="C805" s="466" t="s">
        <v>497</v>
      </c>
      <c r="D805" s="467"/>
      <c r="E805" s="467"/>
      <c r="F805" s="467"/>
      <c r="G805" s="467"/>
      <c r="H805" s="467"/>
      <c r="I805" s="467"/>
      <c r="J805" s="467"/>
      <c r="K805" s="467"/>
      <c r="L805" s="468"/>
    </row>
    <row r="806" spans="3:12" x14ac:dyDescent="0.25">
      <c r="C806" s="72" t="s">
        <v>66</v>
      </c>
      <c r="D806" s="492" t="s">
        <v>498</v>
      </c>
      <c r="E806" s="492"/>
      <c r="F806" s="492"/>
      <c r="G806" s="492"/>
      <c r="H806" s="492"/>
      <c r="I806" s="73" t="s">
        <v>499</v>
      </c>
      <c r="J806" s="74" t="s">
        <v>500</v>
      </c>
      <c r="K806" s="73" t="s">
        <v>501</v>
      </c>
      <c r="L806" s="70" t="s">
        <v>502</v>
      </c>
    </row>
    <row r="807" spans="3:12" x14ac:dyDescent="0.25">
      <c r="C807" s="75"/>
      <c r="D807" s="460"/>
      <c r="E807" s="499"/>
      <c r="F807" s="499"/>
      <c r="G807" s="499"/>
      <c r="H807" s="461"/>
      <c r="I807" s="76"/>
      <c r="J807" s="76"/>
      <c r="K807" s="77"/>
      <c r="L807" s="78"/>
    </row>
    <row r="808" spans="3:12" x14ac:dyDescent="0.25">
      <c r="C808" s="75"/>
      <c r="D808" s="493"/>
      <c r="E808" s="493"/>
      <c r="F808" s="493"/>
      <c r="G808" s="493"/>
      <c r="H808" s="493"/>
      <c r="I808" s="76"/>
      <c r="J808" s="80"/>
      <c r="K808" s="81"/>
      <c r="L808" s="78"/>
    </row>
    <row r="809" spans="3:12" x14ac:dyDescent="0.25">
      <c r="C809" s="79"/>
      <c r="D809" s="493" t="s">
        <v>503</v>
      </c>
      <c r="E809" s="493"/>
      <c r="F809" s="493"/>
      <c r="G809" s="493"/>
      <c r="H809" s="493"/>
      <c r="I809" s="76" t="s">
        <v>61</v>
      </c>
      <c r="J809" s="80">
        <v>1</v>
      </c>
      <c r="K809" s="81">
        <f>L832*0.1</f>
        <v>2545.3239502500001</v>
      </c>
      <c r="L809" s="82">
        <f>K809/J809</f>
        <v>2545.3239502500001</v>
      </c>
    </row>
    <row r="810" spans="3:12" ht="13.5" thickBot="1" x14ac:dyDescent="0.3">
      <c r="C810" s="83"/>
      <c r="D810" s="485" t="s">
        <v>504</v>
      </c>
      <c r="E810" s="485"/>
      <c r="F810" s="485"/>
      <c r="G810" s="485"/>
      <c r="H810" s="485"/>
      <c r="I810" s="485"/>
      <c r="J810" s="485"/>
      <c r="K810" s="485"/>
      <c r="L810" s="84">
        <f>SUM(L807:L809)</f>
        <v>2545.3239502500001</v>
      </c>
    </row>
    <row r="811" spans="3:12" ht="13.5" thickBot="1" x14ac:dyDescent="0.3">
      <c r="C811" s="477"/>
      <c r="D811" s="478"/>
      <c r="E811" s="478"/>
      <c r="F811" s="478"/>
      <c r="G811" s="478"/>
      <c r="H811" s="478"/>
      <c r="I811" s="478"/>
      <c r="J811" s="478"/>
      <c r="K811" s="478"/>
      <c r="L811" s="479"/>
    </row>
    <row r="812" spans="3:12" x14ac:dyDescent="0.25">
      <c r="C812" s="466" t="s">
        <v>505</v>
      </c>
      <c r="D812" s="467"/>
      <c r="E812" s="467"/>
      <c r="F812" s="467"/>
      <c r="G812" s="467"/>
      <c r="H812" s="467"/>
      <c r="I812" s="467"/>
      <c r="J812" s="467"/>
      <c r="K812" s="467"/>
      <c r="L812" s="468"/>
    </row>
    <row r="813" spans="3:12" ht="25.5" x14ac:dyDescent="0.25">
      <c r="C813" s="72" t="s">
        <v>66</v>
      </c>
      <c r="D813" s="492" t="s">
        <v>498</v>
      </c>
      <c r="E813" s="492"/>
      <c r="F813" s="492"/>
      <c r="G813" s="492"/>
      <c r="H813" s="73" t="s">
        <v>499</v>
      </c>
      <c r="I813" s="74" t="s">
        <v>506</v>
      </c>
      <c r="J813" s="73" t="s">
        <v>501</v>
      </c>
      <c r="K813" s="85" t="s">
        <v>507</v>
      </c>
      <c r="L813" s="70" t="s">
        <v>502</v>
      </c>
    </row>
    <row r="814" spans="3:12" x14ac:dyDescent="0.25">
      <c r="C814" s="113" t="s">
        <v>731</v>
      </c>
      <c r="D814" s="498" t="str">
        <f>+MATERIALES!$B$302</f>
        <v>Lubricante tarro</v>
      </c>
      <c r="E814" s="496"/>
      <c r="F814" s="496"/>
      <c r="G814" s="497"/>
      <c r="H814" s="73" t="str">
        <f>+MATERIALES!$C$302</f>
        <v>Kg</v>
      </c>
      <c r="I814" s="76">
        <v>0.01</v>
      </c>
      <c r="J814" s="86">
        <f>+MATERIALES!$D$302</f>
        <v>43900</v>
      </c>
      <c r="K814" s="87">
        <v>0.01</v>
      </c>
      <c r="L814" s="88">
        <f>I814*J814*(1+K814)</f>
        <v>443.39</v>
      </c>
    </row>
    <row r="815" spans="3:12" x14ac:dyDescent="0.25">
      <c r="C815" s="90" t="s">
        <v>732</v>
      </c>
      <c r="D815" s="498" t="str">
        <f>+MATERIALES!$B$303</f>
        <v>Limpiador PVC 760 grms</v>
      </c>
      <c r="E815" s="496"/>
      <c r="F815" s="496"/>
      <c r="G815" s="497"/>
      <c r="H815" s="73" t="str">
        <f>+MATERIALES!$C$303</f>
        <v>und</v>
      </c>
      <c r="I815" s="76">
        <v>0.05</v>
      </c>
      <c r="J815" s="86">
        <f>+MATERIALES!$D$303</f>
        <v>40900</v>
      </c>
      <c r="K815" s="87">
        <v>0.01</v>
      </c>
      <c r="L815" s="88">
        <f>I815*J815*(1+K815)</f>
        <v>2065.4499999999998</v>
      </c>
    </row>
    <row r="816" spans="3:12" x14ac:dyDescent="0.25">
      <c r="C816" s="90" t="s">
        <v>733</v>
      </c>
      <c r="D816" s="498" t="str">
        <f>+MATERIALES!$B$304</f>
        <v>Soldadura PVC 1/4 galon</v>
      </c>
      <c r="E816" s="496"/>
      <c r="F816" s="496"/>
      <c r="G816" s="497"/>
      <c r="H816" s="73" t="str">
        <f>+MATERIALES!$C$304</f>
        <v>und</v>
      </c>
      <c r="I816" s="76">
        <v>0.05</v>
      </c>
      <c r="J816" s="86">
        <f>+MATERIALES!$D$304</f>
        <v>84900</v>
      </c>
      <c r="K816" s="87">
        <v>0.01</v>
      </c>
      <c r="L816" s="88">
        <f>I816*J816*(1+K816)</f>
        <v>4287.45</v>
      </c>
    </row>
    <row r="817" spans="3:15" x14ac:dyDescent="0.25">
      <c r="C817" s="113" t="s">
        <v>728</v>
      </c>
      <c r="D817" s="498" t="str">
        <f>+MATERIALES!B300</f>
        <v xml:space="preserve">unión rápida  D=10" </v>
      </c>
      <c r="E817" s="496"/>
      <c r="F817" s="496"/>
      <c r="G817" s="497"/>
      <c r="H817" s="73" t="str">
        <f>+MATERIALES!C300</f>
        <v>und</v>
      </c>
      <c r="I817" s="91">
        <v>1</v>
      </c>
      <c r="J817" s="86">
        <f>+MATERIALES!D300</f>
        <v>577405</v>
      </c>
      <c r="K817" s="93">
        <v>0</v>
      </c>
      <c r="L817" s="88">
        <f>I817*J817*(1+K817)</f>
        <v>577405</v>
      </c>
    </row>
    <row r="818" spans="3:15" ht="13.5" thickBot="1" x14ac:dyDescent="0.3">
      <c r="C818" s="94"/>
      <c r="D818" s="485" t="s">
        <v>508</v>
      </c>
      <c r="E818" s="485"/>
      <c r="F818" s="485"/>
      <c r="G818" s="485"/>
      <c r="H818" s="485"/>
      <c r="I818" s="485"/>
      <c r="J818" s="485"/>
      <c r="K818" s="485"/>
      <c r="L818" s="84">
        <f>SUM(L814:L817)</f>
        <v>584201.29</v>
      </c>
    </row>
    <row r="819" spans="3:15" ht="13.5" thickBot="1" x14ac:dyDescent="0.3">
      <c r="C819" s="486"/>
      <c r="D819" s="487"/>
      <c r="E819" s="487"/>
      <c r="F819" s="487"/>
      <c r="G819" s="487"/>
      <c r="H819" s="487"/>
      <c r="I819" s="487"/>
      <c r="J819" s="487"/>
      <c r="K819" s="487"/>
      <c r="L819" s="488"/>
    </row>
    <row r="820" spans="3:15" x14ac:dyDescent="0.25">
      <c r="C820" s="466" t="s">
        <v>509</v>
      </c>
      <c r="D820" s="467"/>
      <c r="E820" s="467"/>
      <c r="F820" s="467"/>
      <c r="G820" s="467"/>
      <c r="H820" s="467"/>
      <c r="I820" s="467"/>
      <c r="J820" s="467"/>
      <c r="K820" s="467"/>
      <c r="L820" s="468"/>
    </row>
    <row r="821" spans="3:15" x14ac:dyDescent="0.25">
      <c r="C821" s="72" t="s">
        <v>66</v>
      </c>
      <c r="D821" s="492" t="s">
        <v>498</v>
      </c>
      <c r="E821" s="492"/>
      <c r="F821" s="492"/>
      <c r="G821" s="492"/>
      <c r="H821" s="73" t="s">
        <v>506</v>
      </c>
      <c r="I821" s="73" t="s">
        <v>499</v>
      </c>
      <c r="J821" s="74" t="s">
        <v>510</v>
      </c>
      <c r="K821" s="85" t="s">
        <v>511</v>
      </c>
      <c r="L821" s="70" t="s">
        <v>502</v>
      </c>
    </row>
    <row r="822" spans="3:15" x14ac:dyDescent="0.25">
      <c r="C822" s="90"/>
      <c r="D822" s="494"/>
      <c r="E822" s="494"/>
      <c r="F822" s="494"/>
      <c r="G822" s="494"/>
      <c r="H822" s="76"/>
      <c r="I822" s="97"/>
      <c r="J822" s="97"/>
      <c r="K822" s="95"/>
      <c r="L822" s="96"/>
    </row>
    <row r="823" spans="3:15" x14ac:dyDescent="0.25">
      <c r="C823" s="90"/>
      <c r="D823" s="495"/>
      <c r="E823" s="495"/>
      <c r="F823" s="495"/>
      <c r="G823" s="495"/>
      <c r="H823" s="76"/>
      <c r="I823" s="97"/>
      <c r="J823" s="97"/>
      <c r="K823" s="95"/>
      <c r="L823" s="96"/>
    </row>
    <row r="824" spans="3:15" x14ac:dyDescent="0.25">
      <c r="C824" s="90"/>
      <c r="D824" s="495"/>
      <c r="E824" s="495"/>
      <c r="F824" s="495"/>
      <c r="G824" s="495"/>
      <c r="H824" s="76"/>
      <c r="I824" s="97"/>
      <c r="J824" s="97"/>
      <c r="K824" s="95"/>
      <c r="L824" s="96"/>
    </row>
    <row r="825" spans="3:15" ht="13.5" thickBot="1" x14ac:dyDescent="0.3">
      <c r="C825" s="83"/>
      <c r="D825" s="485" t="s">
        <v>512</v>
      </c>
      <c r="E825" s="485"/>
      <c r="F825" s="485"/>
      <c r="G825" s="485"/>
      <c r="H825" s="485"/>
      <c r="I825" s="485"/>
      <c r="J825" s="485"/>
      <c r="K825" s="485"/>
      <c r="L825" s="98">
        <f>L822</f>
        <v>0</v>
      </c>
    </row>
    <row r="826" spans="3:15" ht="13.5" thickBot="1" x14ac:dyDescent="0.3">
      <c r="C826" s="477"/>
      <c r="D826" s="478"/>
      <c r="E826" s="478"/>
      <c r="F826" s="478"/>
      <c r="G826" s="478"/>
      <c r="H826" s="478"/>
      <c r="I826" s="478"/>
      <c r="J826" s="478"/>
      <c r="K826" s="478"/>
      <c r="L826" s="479"/>
      <c r="O826" s="119">
        <f>612200-(L832+L810+L814+L815+L816)</f>
        <v>577405.14654724998</v>
      </c>
    </row>
    <row r="827" spans="3:15" x14ac:dyDescent="0.25">
      <c r="C827" s="466" t="s">
        <v>513</v>
      </c>
      <c r="D827" s="467"/>
      <c r="E827" s="467"/>
      <c r="F827" s="467"/>
      <c r="G827" s="467"/>
      <c r="H827" s="467"/>
      <c r="I827" s="467"/>
      <c r="J827" s="467"/>
      <c r="K827" s="467"/>
      <c r="L827" s="468"/>
    </row>
    <row r="828" spans="3:15" x14ac:dyDescent="0.25">
      <c r="C828" s="72" t="s">
        <v>66</v>
      </c>
      <c r="D828" s="492" t="s">
        <v>498</v>
      </c>
      <c r="E828" s="492"/>
      <c r="F828" s="85" t="s">
        <v>499</v>
      </c>
      <c r="G828" s="85" t="s">
        <v>506</v>
      </c>
      <c r="H828" s="73" t="s">
        <v>514</v>
      </c>
      <c r="I828" s="99" t="s">
        <v>515</v>
      </c>
      <c r="J828" s="85" t="s">
        <v>516</v>
      </c>
      <c r="K828" s="99" t="s">
        <v>517</v>
      </c>
      <c r="L828" s="100" t="s">
        <v>502</v>
      </c>
    </row>
    <row r="829" spans="3:15" x14ac:dyDescent="0.25">
      <c r="C829" s="79" t="s">
        <v>519</v>
      </c>
      <c r="D829" s="460" t="str">
        <f>'MANO DE OBRA'!$B$3</f>
        <v>Ayudante</v>
      </c>
      <c r="E829" s="461"/>
      <c r="F829" s="97" t="str">
        <f>'MANO DE OBRA'!$C$2</f>
        <v>DIA</v>
      </c>
      <c r="G829" s="76">
        <v>2</v>
      </c>
      <c r="H829" s="101">
        <f>'MANO DE OBRA'!$D$3</f>
        <v>28981.77</v>
      </c>
      <c r="I829" s="102">
        <v>0.75649999999999995</v>
      </c>
      <c r="J829" s="103">
        <f>(H829+(H829*I829))</f>
        <v>50906.479005000001</v>
      </c>
      <c r="K829" s="76">
        <v>4</v>
      </c>
      <c r="L829" s="96">
        <f>G829*(J829/K829)</f>
        <v>25453.239502500001</v>
      </c>
    </row>
    <row r="830" spans="3:15" x14ac:dyDescent="0.25">
      <c r="C830" s="79"/>
      <c r="D830" s="460"/>
      <c r="E830" s="461"/>
      <c r="F830" s="97"/>
      <c r="G830" s="76"/>
      <c r="H830" s="101"/>
      <c r="I830" s="102"/>
      <c r="J830" s="103"/>
      <c r="K830" s="76"/>
      <c r="L830" s="96"/>
    </row>
    <row r="831" spans="3:15" x14ac:dyDescent="0.25">
      <c r="C831" s="90"/>
      <c r="D831" s="493"/>
      <c r="E831" s="493"/>
      <c r="F831" s="97"/>
      <c r="G831" s="76"/>
      <c r="H831" s="101"/>
      <c r="I831" s="102"/>
      <c r="J831" s="103"/>
      <c r="K831" s="76"/>
      <c r="L831" s="96"/>
    </row>
    <row r="832" spans="3:15" ht="13.5" thickBot="1" x14ac:dyDescent="0.3">
      <c r="C832" s="83"/>
      <c r="D832" s="485" t="s">
        <v>520</v>
      </c>
      <c r="E832" s="485"/>
      <c r="F832" s="485"/>
      <c r="G832" s="485"/>
      <c r="H832" s="485"/>
      <c r="I832" s="485"/>
      <c r="J832" s="485"/>
      <c r="K832" s="485"/>
      <c r="L832" s="98">
        <f>L830+L829</f>
        <v>25453.239502500001</v>
      </c>
    </row>
    <row r="833" spans="3:12" ht="13.5" thickBot="1" x14ac:dyDescent="0.3">
      <c r="C833" s="486"/>
      <c r="D833" s="487"/>
      <c r="E833" s="487"/>
      <c r="F833" s="487"/>
      <c r="G833" s="487"/>
      <c r="H833" s="487"/>
      <c r="I833" s="487"/>
      <c r="J833" s="487"/>
      <c r="K833" s="487"/>
      <c r="L833" s="488"/>
    </row>
    <row r="834" spans="3:12" ht="13.5" thickBot="1" x14ac:dyDescent="0.3">
      <c r="C834" s="489" t="s">
        <v>521</v>
      </c>
      <c r="D834" s="490"/>
      <c r="E834" s="490"/>
      <c r="F834" s="490"/>
      <c r="G834" s="490"/>
      <c r="H834" s="490"/>
      <c r="I834" s="490"/>
      <c r="J834" s="491"/>
      <c r="K834" s="145">
        <f>ROUND(L832+L825+L818+L810,0)</f>
        <v>612200</v>
      </c>
      <c r="L834" s="146"/>
    </row>
    <row r="836" spans="3:12" ht="13.5" thickBot="1" x14ac:dyDescent="0.3"/>
    <row r="837" spans="3:12" x14ac:dyDescent="0.25">
      <c r="C837" s="466" t="s">
        <v>495</v>
      </c>
      <c r="D837" s="467"/>
      <c r="E837" s="467"/>
      <c r="F837" s="467"/>
      <c r="G837" s="467"/>
      <c r="H837" s="467"/>
      <c r="I837" s="467"/>
      <c r="J837" s="467"/>
      <c r="K837" s="467"/>
      <c r="L837" s="468"/>
    </row>
    <row r="838" spans="3:12" ht="12.75" customHeight="1" x14ac:dyDescent="0.25">
      <c r="C838" s="469" t="str">
        <f>+PPTO!$A$2</f>
        <v>REPOSICION E INSTALACION VALVULAS DE SECTORIZACION EN DIFERENTES SECTORES DEL MUNICIPIO DE PIEDECUESTA - SANTANDER.</v>
      </c>
      <c r="D838" s="470"/>
      <c r="E838" s="470"/>
      <c r="F838" s="470"/>
      <c r="G838" s="470"/>
      <c r="H838" s="470"/>
      <c r="I838" s="470"/>
      <c r="J838" s="470"/>
      <c r="K838" s="470"/>
      <c r="L838" s="471"/>
    </row>
    <row r="839" spans="3:12" x14ac:dyDescent="0.25">
      <c r="C839" s="472" t="s">
        <v>496</v>
      </c>
      <c r="D839" s="141">
        <f>+PPTO!$A$20</f>
        <v>4</v>
      </c>
      <c r="E839" s="474" t="str">
        <f>+PPTO!$B$20</f>
        <v>SUMINISTRO E INSTALACION DE TUBERIAS Y ACCESORIOS.</v>
      </c>
      <c r="F839" s="475"/>
      <c r="G839" s="475"/>
      <c r="H839" s="475"/>
      <c r="I839" s="475"/>
      <c r="J839" s="475"/>
      <c r="K839" s="475"/>
      <c r="L839" s="70" t="s">
        <v>52</v>
      </c>
    </row>
    <row r="840" spans="3:12" ht="13.5" thickBot="1" x14ac:dyDescent="0.3">
      <c r="C840" s="473"/>
      <c r="D840" s="120">
        <f>+PPTO!A34</f>
        <v>4.1399999999999997</v>
      </c>
      <c r="E840" s="476" t="str">
        <f>+PPTO!B34</f>
        <v xml:space="preserve">Suministro e instalación unión rápida  D=12" </v>
      </c>
      <c r="F840" s="476"/>
      <c r="G840" s="476"/>
      <c r="H840" s="476"/>
      <c r="I840" s="476"/>
      <c r="J840" s="476"/>
      <c r="K840" s="476"/>
      <c r="L840" s="71" t="str">
        <f>+PPTO!C34</f>
        <v>UND</v>
      </c>
    </row>
    <row r="841" spans="3:12" ht="13.5" thickBot="1" x14ac:dyDescent="0.3">
      <c r="C841" s="477"/>
      <c r="D841" s="478"/>
      <c r="E841" s="478"/>
      <c r="F841" s="478"/>
      <c r="G841" s="478"/>
      <c r="H841" s="478"/>
      <c r="I841" s="478"/>
      <c r="J841" s="478"/>
      <c r="K841" s="478"/>
      <c r="L841" s="479"/>
    </row>
    <row r="842" spans="3:12" x14ac:dyDescent="0.25">
      <c r="C842" s="466" t="s">
        <v>497</v>
      </c>
      <c r="D842" s="467"/>
      <c r="E842" s="467"/>
      <c r="F842" s="467"/>
      <c r="G842" s="467"/>
      <c r="H842" s="467"/>
      <c r="I842" s="467"/>
      <c r="J842" s="467"/>
      <c r="K842" s="467"/>
      <c r="L842" s="468"/>
    </row>
    <row r="843" spans="3:12" x14ac:dyDescent="0.25">
      <c r="C843" s="72" t="s">
        <v>66</v>
      </c>
      <c r="D843" s="492" t="s">
        <v>498</v>
      </c>
      <c r="E843" s="492"/>
      <c r="F843" s="492"/>
      <c r="G843" s="492"/>
      <c r="H843" s="492"/>
      <c r="I843" s="73" t="s">
        <v>499</v>
      </c>
      <c r="J843" s="74" t="s">
        <v>500</v>
      </c>
      <c r="K843" s="73" t="s">
        <v>501</v>
      </c>
      <c r="L843" s="70" t="s">
        <v>502</v>
      </c>
    </row>
    <row r="844" spans="3:12" x14ac:dyDescent="0.25">
      <c r="C844" s="75"/>
      <c r="D844" s="460"/>
      <c r="E844" s="499"/>
      <c r="F844" s="499"/>
      <c r="G844" s="499"/>
      <c r="H844" s="461"/>
      <c r="I844" s="76"/>
      <c r="J844" s="76"/>
      <c r="K844" s="77"/>
      <c r="L844" s="78"/>
    </row>
    <row r="845" spans="3:12" x14ac:dyDescent="0.25">
      <c r="C845" s="75"/>
      <c r="D845" s="493"/>
      <c r="E845" s="493"/>
      <c r="F845" s="493"/>
      <c r="G845" s="493"/>
      <c r="H845" s="493"/>
      <c r="I845" s="76"/>
      <c r="J845" s="80"/>
      <c r="K845" s="81"/>
      <c r="L845" s="78"/>
    </row>
    <row r="846" spans="3:12" x14ac:dyDescent="0.25">
      <c r="C846" s="79"/>
      <c r="D846" s="493" t="s">
        <v>503</v>
      </c>
      <c r="E846" s="493"/>
      <c r="F846" s="493"/>
      <c r="G846" s="493"/>
      <c r="H846" s="493"/>
      <c r="I846" s="76" t="s">
        <v>61</v>
      </c>
      <c r="J846" s="80">
        <v>1</v>
      </c>
      <c r="K846" s="81">
        <f>L869*0.1</f>
        <v>3393.7652670000007</v>
      </c>
      <c r="L846" s="82">
        <f>K846/J846</f>
        <v>3393.7652670000007</v>
      </c>
    </row>
    <row r="847" spans="3:12" ht="13.5" thickBot="1" x14ac:dyDescent="0.3">
      <c r="C847" s="83"/>
      <c r="D847" s="485" t="s">
        <v>504</v>
      </c>
      <c r="E847" s="485"/>
      <c r="F847" s="485"/>
      <c r="G847" s="485"/>
      <c r="H847" s="485"/>
      <c r="I847" s="485"/>
      <c r="J847" s="485"/>
      <c r="K847" s="485"/>
      <c r="L847" s="84">
        <f>SUM(L844:L846)</f>
        <v>3393.7652670000007</v>
      </c>
    </row>
    <row r="848" spans="3:12" ht="13.5" thickBot="1" x14ac:dyDescent="0.3">
      <c r="C848" s="477"/>
      <c r="D848" s="478"/>
      <c r="E848" s="478"/>
      <c r="F848" s="478"/>
      <c r="G848" s="478"/>
      <c r="H848" s="478"/>
      <c r="I848" s="478"/>
      <c r="J848" s="478"/>
      <c r="K848" s="478"/>
      <c r="L848" s="479"/>
    </row>
    <row r="849" spans="3:15" x14ac:dyDescent="0.25">
      <c r="C849" s="466" t="s">
        <v>505</v>
      </c>
      <c r="D849" s="467"/>
      <c r="E849" s="467"/>
      <c r="F849" s="467"/>
      <c r="G849" s="467"/>
      <c r="H849" s="467"/>
      <c r="I849" s="467"/>
      <c r="J849" s="467"/>
      <c r="K849" s="467"/>
      <c r="L849" s="468"/>
    </row>
    <row r="850" spans="3:15" ht="25.5" x14ac:dyDescent="0.25">
      <c r="C850" s="72" t="s">
        <v>66</v>
      </c>
      <c r="D850" s="492" t="s">
        <v>498</v>
      </c>
      <c r="E850" s="492"/>
      <c r="F850" s="492"/>
      <c r="G850" s="492"/>
      <c r="H850" s="73" t="s">
        <v>499</v>
      </c>
      <c r="I850" s="74" t="s">
        <v>506</v>
      </c>
      <c r="J850" s="73" t="s">
        <v>501</v>
      </c>
      <c r="K850" s="85" t="s">
        <v>507</v>
      </c>
      <c r="L850" s="70" t="s">
        <v>502</v>
      </c>
    </row>
    <row r="851" spans="3:15" x14ac:dyDescent="0.25">
      <c r="C851" s="113" t="s">
        <v>731</v>
      </c>
      <c r="D851" s="498" t="str">
        <f>+MATERIALES!$B$302</f>
        <v>Lubricante tarro</v>
      </c>
      <c r="E851" s="496"/>
      <c r="F851" s="496"/>
      <c r="G851" s="497"/>
      <c r="H851" s="73" t="str">
        <f>+MATERIALES!$C$302</f>
        <v>Kg</v>
      </c>
      <c r="I851" s="76">
        <v>0.01</v>
      </c>
      <c r="J851" s="86">
        <f>+MATERIALES!$D$302</f>
        <v>43900</v>
      </c>
      <c r="K851" s="87">
        <v>0.01</v>
      </c>
      <c r="L851" s="88">
        <f>I851*J851*(1+K851)</f>
        <v>443.39</v>
      </c>
    </row>
    <row r="852" spans="3:15" x14ac:dyDescent="0.25">
      <c r="C852" s="90" t="s">
        <v>732</v>
      </c>
      <c r="D852" s="498" t="str">
        <f>+MATERIALES!$B$303</f>
        <v>Limpiador PVC 760 grms</v>
      </c>
      <c r="E852" s="496"/>
      <c r="F852" s="496"/>
      <c r="G852" s="497"/>
      <c r="H852" s="73" t="str">
        <f>+MATERIALES!$C$303</f>
        <v>und</v>
      </c>
      <c r="I852" s="76">
        <v>0.05</v>
      </c>
      <c r="J852" s="86">
        <f>+MATERIALES!$D$303</f>
        <v>40900</v>
      </c>
      <c r="K852" s="87">
        <v>0.01</v>
      </c>
      <c r="L852" s="88">
        <f>I852*J852*(1+K852)</f>
        <v>2065.4499999999998</v>
      </c>
    </row>
    <row r="853" spans="3:15" x14ac:dyDescent="0.25">
      <c r="C853" s="90" t="s">
        <v>733</v>
      </c>
      <c r="D853" s="498" t="str">
        <f>+MATERIALES!$B$304</f>
        <v>Soldadura PVC 1/4 galon</v>
      </c>
      <c r="E853" s="496"/>
      <c r="F853" s="496"/>
      <c r="G853" s="497"/>
      <c r="H853" s="73" t="str">
        <f>+MATERIALES!$C$304</f>
        <v>und</v>
      </c>
      <c r="I853" s="76">
        <v>0.05</v>
      </c>
      <c r="J853" s="86">
        <f>+MATERIALES!$D$304</f>
        <v>84900</v>
      </c>
      <c r="K853" s="87">
        <v>0.01</v>
      </c>
      <c r="L853" s="88">
        <f>I853*J853*(1+K853)</f>
        <v>4287.45</v>
      </c>
    </row>
    <row r="854" spans="3:15" x14ac:dyDescent="0.25">
      <c r="C854" s="113" t="s">
        <v>729</v>
      </c>
      <c r="D854" s="498" t="str">
        <f>+MATERIALES!B301</f>
        <v xml:space="preserve">unión rápida  D=12" </v>
      </c>
      <c r="E854" s="496"/>
      <c r="F854" s="496"/>
      <c r="G854" s="497"/>
      <c r="H854" s="73" t="str">
        <f>+MATERIALES!C301</f>
        <v>und</v>
      </c>
      <c r="I854" s="91">
        <v>1</v>
      </c>
      <c r="J854" s="86">
        <f>+MATERIALES!D301</f>
        <v>904672</v>
      </c>
      <c r="K854" s="93">
        <v>0</v>
      </c>
      <c r="L854" s="88">
        <f>I854*J854*(1+K854)</f>
        <v>904672</v>
      </c>
    </row>
    <row r="855" spans="3:15" ht="13.5" thickBot="1" x14ac:dyDescent="0.3">
      <c r="C855" s="94"/>
      <c r="D855" s="485" t="s">
        <v>508</v>
      </c>
      <c r="E855" s="485"/>
      <c r="F855" s="485"/>
      <c r="G855" s="485"/>
      <c r="H855" s="485"/>
      <c r="I855" s="485"/>
      <c r="J855" s="485"/>
      <c r="K855" s="485"/>
      <c r="L855" s="84">
        <f>SUM(L851:L854)</f>
        <v>911468.29</v>
      </c>
    </row>
    <row r="856" spans="3:15" ht="13.5" thickBot="1" x14ac:dyDescent="0.3">
      <c r="C856" s="486"/>
      <c r="D856" s="487"/>
      <c r="E856" s="487"/>
      <c r="F856" s="487"/>
      <c r="G856" s="487"/>
      <c r="H856" s="487"/>
      <c r="I856" s="487"/>
      <c r="J856" s="487"/>
      <c r="K856" s="487"/>
      <c r="L856" s="488"/>
    </row>
    <row r="857" spans="3:15" x14ac:dyDescent="0.25">
      <c r="C857" s="466" t="s">
        <v>509</v>
      </c>
      <c r="D857" s="467"/>
      <c r="E857" s="467"/>
      <c r="F857" s="467"/>
      <c r="G857" s="467"/>
      <c r="H857" s="467"/>
      <c r="I857" s="467"/>
      <c r="J857" s="467"/>
      <c r="K857" s="467"/>
      <c r="L857" s="468"/>
    </row>
    <row r="858" spans="3:15" x14ac:dyDescent="0.25">
      <c r="C858" s="72" t="s">
        <v>66</v>
      </c>
      <c r="D858" s="492" t="s">
        <v>498</v>
      </c>
      <c r="E858" s="492"/>
      <c r="F858" s="492"/>
      <c r="G858" s="492"/>
      <c r="H858" s="73" t="s">
        <v>506</v>
      </c>
      <c r="I858" s="73" t="s">
        <v>499</v>
      </c>
      <c r="J858" s="74" t="s">
        <v>510</v>
      </c>
      <c r="K858" s="85" t="s">
        <v>511</v>
      </c>
      <c r="L858" s="70" t="s">
        <v>502</v>
      </c>
    </row>
    <row r="859" spans="3:15" x14ac:dyDescent="0.25">
      <c r="C859" s="90"/>
      <c r="D859" s="494"/>
      <c r="E859" s="494"/>
      <c r="F859" s="494"/>
      <c r="G859" s="494"/>
      <c r="H859" s="76"/>
      <c r="I859" s="97"/>
      <c r="J859" s="97"/>
      <c r="K859" s="95"/>
      <c r="L859" s="96"/>
    </row>
    <row r="860" spans="3:15" x14ac:dyDescent="0.25">
      <c r="C860" s="90"/>
      <c r="D860" s="495"/>
      <c r="E860" s="495"/>
      <c r="F860" s="495"/>
      <c r="G860" s="495"/>
      <c r="H860" s="76"/>
      <c r="I860" s="97"/>
      <c r="J860" s="97"/>
      <c r="K860" s="95"/>
      <c r="L860" s="96"/>
    </row>
    <row r="861" spans="3:15" x14ac:dyDescent="0.25">
      <c r="C861" s="90"/>
      <c r="D861" s="495"/>
      <c r="E861" s="495"/>
      <c r="F861" s="495"/>
      <c r="G861" s="495"/>
      <c r="H861" s="76"/>
      <c r="I861" s="97"/>
      <c r="J861" s="97"/>
      <c r="K861" s="95"/>
      <c r="L861" s="96"/>
    </row>
    <row r="862" spans="3:15" ht="13.5" thickBot="1" x14ac:dyDescent="0.3">
      <c r="C862" s="83"/>
      <c r="D862" s="485" t="s">
        <v>512</v>
      </c>
      <c r="E862" s="485"/>
      <c r="F862" s="485"/>
      <c r="G862" s="485"/>
      <c r="H862" s="485"/>
      <c r="I862" s="485"/>
      <c r="J862" s="485"/>
      <c r="K862" s="485"/>
      <c r="L862" s="98">
        <f>L859</f>
        <v>0</v>
      </c>
    </row>
    <row r="863" spans="3:15" ht="13.5" thickBot="1" x14ac:dyDescent="0.3">
      <c r="C863" s="477"/>
      <c r="D863" s="478"/>
      <c r="E863" s="478"/>
      <c r="F863" s="478"/>
      <c r="G863" s="478"/>
      <c r="H863" s="478"/>
      <c r="I863" s="478"/>
      <c r="J863" s="478"/>
      <c r="K863" s="478"/>
      <c r="L863" s="479"/>
      <c r="O863" s="119">
        <f>948800-(L869+L847+L851+L852+L853)</f>
        <v>904672.29206300003</v>
      </c>
    </row>
    <row r="864" spans="3:15" x14ac:dyDescent="0.25">
      <c r="C864" s="466" t="s">
        <v>513</v>
      </c>
      <c r="D864" s="467"/>
      <c r="E864" s="467"/>
      <c r="F864" s="467"/>
      <c r="G864" s="467"/>
      <c r="H864" s="467"/>
      <c r="I864" s="467"/>
      <c r="J864" s="467"/>
      <c r="K864" s="467"/>
      <c r="L864" s="468"/>
    </row>
    <row r="865" spans="3:12" x14ac:dyDescent="0.25">
      <c r="C865" s="72" t="s">
        <v>66</v>
      </c>
      <c r="D865" s="492" t="s">
        <v>498</v>
      </c>
      <c r="E865" s="492"/>
      <c r="F865" s="85" t="s">
        <v>499</v>
      </c>
      <c r="G865" s="85" t="s">
        <v>506</v>
      </c>
      <c r="H865" s="73" t="s">
        <v>514</v>
      </c>
      <c r="I865" s="99" t="s">
        <v>515</v>
      </c>
      <c r="J865" s="85" t="s">
        <v>516</v>
      </c>
      <c r="K865" s="99" t="s">
        <v>517</v>
      </c>
      <c r="L865" s="100" t="s">
        <v>502</v>
      </c>
    </row>
    <row r="866" spans="3:12" x14ac:dyDescent="0.25">
      <c r="C866" s="79" t="s">
        <v>519</v>
      </c>
      <c r="D866" s="460" t="str">
        <f>'MANO DE OBRA'!$B$3</f>
        <v>Ayudante</v>
      </c>
      <c r="E866" s="461"/>
      <c r="F866" s="97" t="str">
        <f>'MANO DE OBRA'!$C$2</f>
        <v>DIA</v>
      </c>
      <c r="G866" s="76">
        <v>2</v>
      </c>
      <c r="H866" s="101">
        <f>'MANO DE OBRA'!$D$3</f>
        <v>28981.77</v>
      </c>
      <c r="I866" s="102">
        <v>0.75649999999999995</v>
      </c>
      <c r="J866" s="103">
        <f>(H866+(H866*I866))</f>
        <v>50906.479005000001</v>
      </c>
      <c r="K866" s="76">
        <v>3</v>
      </c>
      <c r="L866" s="96">
        <f>G866*(J866/K866)</f>
        <v>33937.652670000003</v>
      </c>
    </row>
    <row r="867" spans="3:12" x14ac:dyDescent="0.25">
      <c r="C867" s="79"/>
      <c r="D867" s="460"/>
      <c r="E867" s="461"/>
      <c r="F867" s="97"/>
      <c r="G867" s="76"/>
      <c r="H867" s="101"/>
      <c r="I867" s="102"/>
      <c r="J867" s="103"/>
      <c r="K867" s="76"/>
      <c r="L867" s="96"/>
    </row>
    <row r="868" spans="3:12" x14ac:dyDescent="0.25">
      <c r="C868" s="90"/>
      <c r="D868" s="493"/>
      <c r="E868" s="493"/>
      <c r="F868" s="97"/>
      <c r="G868" s="76"/>
      <c r="H868" s="101"/>
      <c r="I868" s="102"/>
      <c r="J868" s="103"/>
      <c r="K868" s="76"/>
      <c r="L868" s="96"/>
    </row>
    <row r="869" spans="3:12" ht="13.5" thickBot="1" x14ac:dyDescent="0.3">
      <c r="C869" s="83"/>
      <c r="D869" s="485" t="s">
        <v>520</v>
      </c>
      <c r="E869" s="485"/>
      <c r="F869" s="485"/>
      <c r="G869" s="485"/>
      <c r="H869" s="485"/>
      <c r="I869" s="485"/>
      <c r="J869" s="485"/>
      <c r="K869" s="485"/>
      <c r="L869" s="98">
        <f>L867+L866</f>
        <v>33937.652670000003</v>
      </c>
    </row>
    <row r="870" spans="3:12" ht="13.5" thickBot="1" x14ac:dyDescent="0.3">
      <c r="C870" s="486"/>
      <c r="D870" s="487"/>
      <c r="E870" s="487"/>
      <c r="F870" s="487"/>
      <c r="G870" s="487"/>
      <c r="H870" s="487"/>
      <c r="I870" s="487"/>
      <c r="J870" s="487"/>
      <c r="K870" s="487"/>
      <c r="L870" s="488"/>
    </row>
    <row r="871" spans="3:12" ht="13.5" thickBot="1" x14ac:dyDescent="0.3">
      <c r="C871" s="489" t="s">
        <v>521</v>
      </c>
      <c r="D871" s="490"/>
      <c r="E871" s="490"/>
      <c r="F871" s="490"/>
      <c r="G871" s="490"/>
      <c r="H871" s="490"/>
      <c r="I871" s="490"/>
      <c r="J871" s="491"/>
      <c r="K871" s="145">
        <f>ROUND(L869+L862+L855+L847,0)</f>
        <v>948800</v>
      </c>
      <c r="L871" s="146"/>
    </row>
    <row r="873" spans="3:12" ht="13.5" thickBot="1" x14ac:dyDescent="0.3"/>
    <row r="874" spans="3:12" x14ac:dyDescent="0.25">
      <c r="C874" s="466" t="s">
        <v>495</v>
      </c>
      <c r="D874" s="467"/>
      <c r="E874" s="467"/>
      <c r="F874" s="467"/>
      <c r="G874" s="467"/>
      <c r="H874" s="467"/>
      <c r="I874" s="467"/>
      <c r="J874" s="467"/>
      <c r="K874" s="467"/>
      <c r="L874" s="468"/>
    </row>
    <row r="875" spans="3:12" ht="12.75" customHeight="1" x14ac:dyDescent="0.25">
      <c r="C875" s="469" t="str">
        <f>+PPTO!$A$2</f>
        <v>REPOSICION E INSTALACION VALVULAS DE SECTORIZACION EN DIFERENTES SECTORES DEL MUNICIPIO DE PIEDECUESTA - SANTANDER.</v>
      </c>
      <c r="D875" s="470"/>
      <c r="E875" s="470"/>
      <c r="F875" s="470"/>
      <c r="G875" s="470"/>
      <c r="H875" s="470"/>
      <c r="I875" s="470"/>
      <c r="J875" s="470"/>
      <c r="K875" s="470"/>
      <c r="L875" s="471"/>
    </row>
    <row r="876" spans="3:12" x14ac:dyDescent="0.25">
      <c r="C876" s="472" t="s">
        <v>496</v>
      </c>
      <c r="D876" s="141">
        <f>+PPTO!$A$20</f>
        <v>4</v>
      </c>
      <c r="E876" s="474" t="str">
        <f>+PPTO!$B$20</f>
        <v>SUMINISTRO E INSTALACION DE TUBERIAS Y ACCESORIOS.</v>
      </c>
      <c r="F876" s="475"/>
      <c r="G876" s="475"/>
      <c r="H876" s="475"/>
      <c r="I876" s="475"/>
      <c r="J876" s="475"/>
      <c r="K876" s="475"/>
      <c r="L876" s="70" t="s">
        <v>52</v>
      </c>
    </row>
    <row r="877" spans="3:12" ht="13.5" thickBot="1" x14ac:dyDescent="0.3">
      <c r="C877" s="473"/>
      <c r="D877" s="120">
        <f>+PPTO!A35</f>
        <v>4.1500000000000004</v>
      </c>
      <c r="E877" s="476" t="str">
        <f>+PPTO!B35</f>
        <v xml:space="preserve">Suministro e instalación tubería pvc presión rde 21 d= 4" </v>
      </c>
      <c r="F877" s="476"/>
      <c r="G877" s="476"/>
      <c r="H877" s="476"/>
      <c r="I877" s="476"/>
      <c r="J877" s="476"/>
      <c r="K877" s="476"/>
      <c r="L877" s="71" t="str">
        <f>+PPTO!C35</f>
        <v>ML</v>
      </c>
    </row>
    <row r="878" spans="3:12" ht="13.5" thickBot="1" x14ac:dyDescent="0.3">
      <c r="C878" s="477"/>
      <c r="D878" s="478"/>
      <c r="E878" s="478"/>
      <c r="F878" s="478"/>
      <c r="G878" s="478"/>
      <c r="H878" s="478"/>
      <c r="I878" s="478"/>
      <c r="J878" s="478"/>
      <c r="K878" s="478"/>
      <c r="L878" s="479"/>
    </row>
    <row r="879" spans="3:12" x14ac:dyDescent="0.25">
      <c r="C879" s="466" t="s">
        <v>497</v>
      </c>
      <c r="D879" s="467"/>
      <c r="E879" s="467"/>
      <c r="F879" s="467"/>
      <c r="G879" s="467"/>
      <c r="H879" s="467"/>
      <c r="I879" s="467"/>
      <c r="J879" s="467"/>
      <c r="K879" s="467"/>
      <c r="L879" s="468"/>
    </row>
    <row r="880" spans="3:12" x14ac:dyDescent="0.25">
      <c r="C880" s="72" t="s">
        <v>66</v>
      </c>
      <c r="D880" s="492" t="s">
        <v>498</v>
      </c>
      <c r="E880" s="492"/>
      <c r="F880" s="492"/>
      <c r="G880" s="492"/>
      <c r="H880" s="492"/>
      <c r="I880" s="73" t="s">
        <v>499</v>
      </c>
      <c r="J880" s="74" t="s">
        <v>500</v>
      </c>
      <c r="K880" s="73" t="s">
        <v>501</v>
      </c>
      <c r="L880" s="70" t="s">
        <v>502</v>
      </c>
    </row>
    <row r="881" spans="3:12" x14ac:dyDescent="0.25">
      <c r="C881" s="75"/>
      <c r="D881" s="460"/>
      <c r="E881" s="499"/>
      <c r="F881" s="499"/>
      <c r="G881" s="499"/>
      <c r="H881" s="461"/>
      <c r="I881" s="76"/>
      <c r="J881" s="76"/>
      <c r="K881" s="77"/>
      <c r="L881" s="78"/>
    </row>
    <row r="882" spans="3:12" x14ac:dyDescent="0.25">
      <c r="C882" s="75"/>
      <c r="D882" s="493"/>
      <c r="E882" s="493"/>
      <c r="F882" s="493"/>
      <c r="G882" s="493"/>
      <c r="H882" s="493"/>
      <c r="I882" s="76"/>
      <c r="J882" s="80"/>
      <c r="K882" s="81"/>
      <c r="L882" s="78"/>
    </row>
    <row r="883" spans="3:12" x14ac:dyDescent="0.25">
      <c r="C883" s="79"/>
      <c r="D883" s="493" t="s">
        <v>503</v>
      </c>
      <c r="E883" s="493"/>
      <c r="F883" s="493"/>
      <c r="G883" s="493"/>
      <c r="H883" s="493"/>
      <c r="I883" s="76" t="s">
        <v>61</v>
      </c>
      <c r="J883" s="80">
        <v>1</v>
      </c>
      <c r="K883" s="81">
        <f>L906*0.1</f>
        <v>1240.6222734000003</v>
      </c>
      <c r="L883" s="82">
        <f>K883/J883</f>
        <v>1240.6222734000003</v>
      </c>
    </row>
    <row r="884" spans="3:12" ht="13.5" thickBot="1" x14ac:dyDescent="0.3">
      <c r="C884" s="83"/>
      <c r="D884" s="485" t="s">
        <v>504</v>
      </c>
      <c r="E884" s="485"/>
      <c r="F884" s="485"/>
      <c r="G884" s="485"/>
      <c r="H884" s="485"/>
      <c r="I884" s="485"/>
      <c r="J884" s="485"/>
      <c r="K884" s="485"/>
      <c r="L884" s="84">
        <f>SUM(L881:L883)</f>
        <v>1240.6222734000003</v>
      </c>
    </row>
    <row r="885" spans="3:12" ht="13.5" thickBot="1" x14ac:dyDescent="0.3">
      <c r="C885" s="477"/>
      <c r="D885" s="478"/>
      <c r="E885" s="478"/>
      <c r="F885" s="478"/>
      <c r="G885" s="478"/>
      <c r="H885" s="478"/>
      <c r="I885" s="478"/>
      <c r="J885" s="478"/>
      <c r="K885" s="478"/>
      <c r="L885" s="479"/>
    </row>
    <row r="886" spans="3:12" x14ac:dyDescent="0.25">
      <c r="C886" s="466" t="s">
        <v>505</v>
      </c>
      <c r="D886" s="467"/>
      <c r="E886" s="467"/>
      <c r="F886" s="467"/>
      <c r="G886" s="467"/>
      <c r="H886" s="467"/>
      <c r="I886" s="467"/>
      <c r="J886" s="467"/>
      <c r="K886" s="467"/>
      <c r="L886" s="468"/>
    </row>
    <row r="887" spans="3:12" ht="25.5" x14ac:dyDescent="0.25">
      <c r="C887" s="72" t="s">
        <v>66</v>
      </c>
      <c r="D887" s="492" t="s">
        <v>498</v>
      </c>
      <c r="E887" s="492"/>
      <c r="F887" s="492"/>
      <c r="G887" s="492"/>
      <c r="H887" s="73" t="s">
        <v>499</v>
      </c>
      <c r="I887" s="74" t="s">
        <v>506</v>
      </c>
      <c r="J887" s="73" t="s">
        <v>501</v>
      </c>
      <c r="K887" s="85" t="s">
        <v>507</v>
      </c>
      <c r="L887" s="70" t="s">
        <v>502</v>
      </c>
    </row>
    <row r="888" spans="3:12" x14ac:dyDescent="0.25">
      <c r="C888" s="113" t="s">
        <v>731</v>
      </c>
      <c r="D888" s="498" t="str">
        <f>+MATERIALES!$B$302</f>
        <v>Lubricante tarro</v>
      </c>
      <c r="E888" s="496"/>
      <c r="F888" s="496"/>
      <c r="G888" s="497"/>
      <c r="H888" s="73" t="str">
        <f>+MATERIALES!$C$302</f>
        <v>Kg</v>
      </c>
      <c r="I888" s="76">
        <v>0.01</v>
      </c>
      <c r="J888" s="86">
        <f>+MATERIALES!$D$302</f>
        <v>43900</v>
      </c>
      <c r="K888" s="87">
        <v>0.01</v>
      </c>
      <c r="L888" s="88">
        <f>I888*J888*(1+K888)</f>
        <v>443.39</v>
      </c>
    </row>
    <row r="889" spans="3:12" x14ac:dyDescent="0.25">
      <c r="C889" s="90" t="s">
        <v>732</v>
      </c>
      <c r="D889" s="498" t="str">
        <f>+MATERIALES!$B$303</f>
        <v>Limpiador PVC 760 grms</v>
      </c>
      <c r="E889" s="496"/>
      <c r="F889" s="496"/>
      <c r="G889" s="497"/>
      <c r="H889" s="73" t="str">
        <f>+MATERIALES!$C$303</f>
        <v>und</v>
      </c>
      <c r="I889" s="76">
        <v>0.05</v>
      </c>
      <c r="J889" s="86">
        <f>+MATERIALES!$D$303</f>
        <v>40900</v>
      </c>
      <c r="K889" s="87">
        <v>0.01</v>
      </c>
      <c r="L889" s="88">
        <f>I889*J889*(1+K889)</f>
        <v>2065.4499999999998</v>
      </c>
    </row>
    <row r="890" spans="3:12" x14ac:dyDescent="0.25">
      <c r="C890" s="90" t="s">
        <v>733</v>
      </c>
      <c r="D890" s="498" t="str">
        <f>+MATERIALES!$B$304</f>
        <v>Soldadura PVC 1/4 galon</v>
      </c>
      <c r="E890" s="496"/>
      <c r="F890" s="496"/>
      <c r="G890" s="497"/>
      <c r="H890" s="73" t="str">
        <f>+MATERIALES!$C$304</f>
        <v>und</v>
      </c>
      <c r="I890" s="76">
        <v>0.05</v>
      </c>
      <c r="J890" s="86">
        <f>+MATERIALES!$D$304</f>
        <v>84900</v>
      </c>
      <c r="K890" s="87">
        <v>0.01</v>
      </c>
      <c r="L890" s="88">
        <f>I890*J890*(1+K890)</f>
        <v>4287.45</v>
      </c>
    </row>
    <row r="891" spans="3:12" x14ac:dyDescent="0.25">
      <c r="C891" s="113" t="s">
        <v>734</v>
      </c>
      <c r="D891" s="498" t="str">
        <f>+MATERIALES!B305</f>
        <v xml:space="preserve">tubería pvc presión rde 21 d= 4" </v>
      </c>
      <c r="E891" s="496"/>
      <c r="F891" s="496"/>
      <c r="G891" s="497"/>
      <c r="H891" s="73" t="str">
        <f>+MATERIALES!C305</f>
        <v>ML.</v>
      </c>
      <c r="I891" s="91">
        <v>1</v>
      </c>
      <c r="J891" s="86">
        <f>+MATERIALES!D305</f>
        <v>216657</v>
      </c>
      <c r="K891" s="93">
        <v>0</v>
      </c>
      <c r="L891" s="88">
        <f>I891*J891*(1+K891)</f>
        <v>216657</v>
      </c>
    </row>
    <row r="892" spans="3:12" ht="13.5" thickBot="1" x14ac:dyDescent="0.3">
      <c r="C892" s="94"/>
      <c r="D892" s="485" t="s">
        <v>508</v>
      </c>
      <c r="E892" s="485"/>
      <c r="F892" s="485"/>
      <c r="G892" s="485"/>
      <c r="H892" s="485"/>
      <c r="I892" s="485"/>
      <c r="J892" s="485"/>
      <c r="K892" s="485"/>
      <c r="L892" s="84">
        <f>SUM(L888:L891)</f>
        <v>223453.29</v>
      </c>
    </row>
    <row r="893" spans="3:12" ht="13.5" thickBot="1" x14ac:dyDescent="0.3">
      <c r="C893" s="486"/>
      <c r="D893" s="487"/>
      <c r="E893" s="487"/>
      <c r="F893" s="487"/>
      <c r="G893" s="487"/>
      <c r="H893" s="487"/>
      <c r="I893" s="487"/>
      <c r="J893" s="487"/>
      <c r="K893" s="487"/>
      <c r="L893" s="488"/>
    </row>
    <row r="894" spans="3:12" x14ac:dyDescent="0.25">
      <c r="C894" s="466" t="s">
        <v>509</v>
      </c>
      <c r="D894" s="467"/>
      <c r="E894" s="467"/>
      <c r="F894" s="467"/>
      <c r="G894" s="467"/>
      <c r="H894" s="467"/>
      <c r="I894" s="467"/>
      <c r="J894" s="467"/>
      <c r="K894" s="467"/>
      <c r="L894" s="468"/>
    </row>
    <row r="895" spans="3:12" x14ac:dyDescent="0.25">
      <c r="C895" s="72" t="s">
        <v>66</v>
      </c>
      <c r="D895" s="492" t="s">
        <v>498</v>
      </c>
      <c r="E895" s="492"/>
      <c r="F895" s="492"/>
      <c r="G895" s="492"/>
      <c r="H895" s="73" t="s">
        <v>506</v>
      </c>
      <c r="I895" s="73" t="s">
        <v>499</v>
      </c>
      <c r="J895" s="74" t="s">
        <v>510</v>
      </c>
      <c r="K895" s="85" t="s">
        <v>511</v>
      </c>
      <c r="L895" s="70" t="s">
        <v>502</v>
      </c>
    </row>
    <row r="896" spans="3:12" x14ac:dyDescent="0.25">
      <c r="C896" s="90"/>
      <c r="D896" s="494"/>
      <c r="E896" s="494"/>
      <c r="F896" s="494"/>
      <c r="G896" s="494"/>
      <c r="H896" s="76"/>
      <c r="I896" s="97"/>
      <c r="J896" s="97"/>
      <c r="K896" s="95"/>
      <c r="L896" s="96"/>
    </row>
    <row r="897" spans="3:15" x14ac:dyDescent="0.25">
      <c r="C897" s="90"/>
      <c r="D897" s="495"/>
      <c r="E897" s="495"/>
      <c r="F897" s="495"/>
      <c r="G897" s="495"/>
      <c r="H897" s="76"/>
      <c r="I897" s="97"/>
      <c r="J897" s="97"/>
      <c r="K897" s="95"/>
      <c r="L897" s="96"/>
    </row>
    <row r="898" spans="3:15" x14ac:dyDescent="0.25">
      <c r="C898" s="90"/>
      <c r="D898" s="495"/>
      <c r="E898" s="495"/>
      <c r="F898" s="495"/>
      <c r="G898" s="495"/>
      <c r="H898" s="76"/>
      <c r="I898" s="97"/>
      <c r="J898" s="97"/>
      <c r="K898" s="95"/>
      <c r="L898" s="96"/>
    </row>
    <row r="899" spans="3:15" ht="13.5" thickBot="1" x14ac:dyDescent="0.3">
      <c r="C899" s="83"/>
      <c r="D899" s="485" t="s">
        <v>512</v>
      </c>
      <c r="E899" s="485"/>
      <c r="F899" s="485"/>
      <c r="G899" s="485"/>
      <c r="H899" s="485"/>
      <c r="I899" s="485"/>
      <c r="J899" s="485"/>
      <c r="K899" s="485"/>
      <c r="L899" s="98">
        <f>L896</f>
        <v>0</v>
      </c>
    </row>
    <row r="900" spans="3:15" ht="13.5" thickBot="1" x14ac:dyDescent="0.3">
      <c r="C900" s="477"/>
      <c r="D900" s="478"/>
      <c r="E900" s="478"/>
      <c r="F900" s="478"/>
      <c r="G900" s="478"/>
      <c r="H900" s="478"/>
      <c r="I900" s="478"/>
      <c r="J900" s="478"/>
      <c r="K900" s="478"/>
      <c r="L900" s="479"/>
      <c r="O900" s="119">
        <f>237100-(L906+L884+L888+L889+L890)</f>
        <v>216656.86499259999</v>
      </c>
    </row>
    <row r="901" spans="3:15" x14ac:dyDescent="0.25">
      <c r="C901" s="466" t="s">
        <v>513</v>
      </c>
      <c r="D901" s="467"/>
      <c r="E901" s="467"/>
      <c r="F901" s="467"/>
      <c r="G901" s="467"/>
      <c r="H901" s="467"/>
      <c r="I901" s="467"/>
      <c r="J901" s="467"/>
      <c r="K901" s="467"/>
      <c r="L901" s="468"/>
    </row>
    <row r="902" spans="3:15" x14ac:dyDescent="0.25">
      <c r="C902" s="72" t="s">
        <v>66</v>
      </c>
      <c r="D902" s="492" t="s">
        <v>498</v>
      </c>
      <c r="E902" s="492"/>
      <c r="F902" s="85" t="s">
        <v>499</v>
      </c>
      <c r="G902" s="85" t="s">
        <v>506</v>
      </c>
      <c r="H902" s="73" t="s">
        <v>514</v>
      </c>
      <c r="I902" s="99" t="s">
        <v>515</v>
      </c>
      <c r="J902" s="85" t="s">
        <v>516</v>
      </c>
      <c r="K902" s="99" t="s">
        <v>517</v>
      </c>
      <c r="L902" s="100" t="s">
        <v>502</v>
      </c>
    </row>
    <row r="903" spans="3:15" x14ac:dyDescent="0.25">
      <c r="C903" s="79" t="s">
        <v>519</v>
      </c>
      <c r="D903" s="460" t="str">
        <f>'MANO DE OBRA'!$B$3</f>
        <v>Ayudante</v>
      </c>
      <c r="E903" s="461"/>
      <c r="F903" s="97" t="str">
        <f>'MANO DE OBRA'!$C$2</f>
        <v>DIA</v>
      </c>
      <c r="G903" s="76">
        <v>2</v>
      </c>
      <c r="H903" s="101">
        <f>'MANO DE OBRA'!$D$3</f>
        <v>28981.77</v>
      </c>
      <c r="I903" s="102">
        <v>0.75649999999999995</v>
      </c>
      <c r="J903" s="103">
        <f>(H903+(H903*I903))</f>
        <v>50906.479005000001</v>
      </c>
      <c r="K903" s="76">
        <v>15</v>
      </c>
      <c r="L903" s="96">
        <f>G903*(J903/K903)</f>
        <v>6787.5305340000004</v>
      </c>
    </row>
    <row r="904" spans="3:15" x14ac:dyDescent="0.25">
      <c r="C904" s="112" t="s">
        <v>526</v>
      </c>
      <c r="D904" s="460" t="str">
        <f>'MANO DE OBRA'!$B$2</f>
        <v>Oficial</v>
      </c>
      <c r="E904" s="461"/>
      <c r="F904" s="97" t="str">
        <f>'MANO DE OBRA'!$C$2</f>
        <v>DIA</v>
      </c>
      <c r="G904" s="76">
        <v>1</v>
      </c>
      <c r="H904" s="101">
        <f>'MANO DE OBRA'!$D$2</f>
        <v>47982</v>
      </c>
      <c r="I904" s="102">
        <v>0.75649999999999995</v>
      </c>
      <c r="J904" s="103">
        <f>(H904+(H904*I904))</f>
        <v>84280.383000000002</v>
      </c>
      <c r="K904" s="76">
        <f>+K903</f>
        <v>15</v>
      </c>
      <c r="L904" s="96">
        <f>G904*(J904/K904)</f>
        <v>5618.6922000000004</v>
      </c>
    </row>
    <row r="905" spans="3:15" x14ac:dyDescent="0.25">
      <c r="C905" s="90"/>
      <c r="D905" s="493"/>
      <c r="E905" s="493"/>
      <c r="F905" s="97"/>
      <c r="G905" s="76"/>
      <c r="H905" s="101"/>
      <c r="I905" s="102"/>
      <c r="J905" s="103"/>
      <c r="K905" s="76"/>
      <c r="L905" s="96"/>
    </row>
    <row r="906" spans="3:15" ht="13.5" thickBot="1" x14ac:dyDescent="0.3">
      <c r="C906" s="83"/>
      <c r="D906" s="485" t="s">
        <v>520</v>
      </c>
      <c r="E906" s="485"/>
      <c r="F906" s="485"/>
      <c r="G906" s="485"/>
      <c r="H906" s="485"/>
      <c r="I906" s="485"/>
      <c r="J906" s="485"/>
      <c r="K906" s="485"/>
      <c r="L906" s="98">
        <f>L904+L903</f>
        <v>12406.222734000001</v>
      </c>
    </row>
    <row r="907" spans="3:15" ht="13.5" thickBot="1" x14ac:dyDescent="0.3">
      <c r="C907" s="486"/>
      <c r="D907" s="487"/>
      <c r="E907" s="487"/>
      <c r="F907" s="487"/>
      <c r="G907" s="487"/>
      <c r="H907" s="487"/>
      <c r="I907" s="487"/>
      <c r="J907" s="487"/>
      <c r="K907" s="487"/>
      <c r="L907" s="488"/>
    </row>
    <row r="908" spans="3:15" ht="13.5" thickBot="1" x14ac:dyDescent="0.3">
      <c r="C908" s="489" t="s">
        <v>521</v>
      </c>
      <c r="D908" s="490"/>
      <c r="E908" s="490"/>
      <c r="F908" s="490"/>
      <c r="G908" s="490"/>
      <c r="H908" s="490"/>
      <c r="I908" s="490"/>
      <c r="J908" s="491"/>
      <c r="K908" s="145">
        <f>ROUND(L906+L899+L892+L884,0)</f>
        <v>237100</v>
      </c>
      <c r="L908" s="146"/>
    </row>
    <row r="910" spans="3:15" ht="13.5" thickBot="1" x14ac:dyDescent="0.3"/>
    <row r="911" spans="3:15" x14ac:dyDescent="0.25">
      <c r="C911" s="466" t="s">
        <v>495</v>
      </c>
      <c r="D911" s="467"/>
      <c r="E911" s="467"/>
      <c r="F911" s="467"/>
      <c r="G911" s="467"/>
      <c r="H911" s="467"/>
      <c r="I911" s="467"/>
      <c r="J911" s="467"/>
      <c r="K911" s="467"/>
      <c r="L911" s="468"/>
    </row>
    <row r="912" spans="3:15" ht="12.75" customHeight="1" x14ac:dyDescent="0.25">
      <c r="C912" s="469" t="str">
        <f>+PPTO!$A$2</f>
        <v>REPOSICION E INSTALACION VALVULAS DE SECTORIZACION EN DIFERENTES SECTORES DEL MUNICIPIO DE PIEDECUESTA - SANTANDER.</v>
      </c>
      <c r="D912" s="470"/>
      <c r="E912" s="470"/>
      <c r="F912" s="470"/>
      <c r="G912" s="470"/>
      <c r="H912" s="470"/>
      <c r="I912" s="470"/>
      <c r="J912" s="470"/>
      <c r="K912" s="470"/>
      <c r="L912" s="471"/>
    </row>
    <row r="913" spans="3:12" x14ac:dyDescent="0.25">
      <c r="C913" s="472" t="s">
        <v>496</v>
      </c>
      <c r="D913" s="141">
        <f>+PPTO!$A$20</f>
        <v>4</v>
      </c>
      <c r="E913" s="474" t="str">
        <f>+PPTO!$B$20</f>
        <v>SUMINISTRO E INSTALACION DE TUBERIAS Y ACCESORIOS.</v>
      </c>
      <c r="F913" s="475"/>
      <c r="G913" s="475"/>
      <c r="H913" s="475"/>
      <c r="I913" s="475"/>
      <c r="J913" s="475"/>
      <c r="K913" s="475"/>
      <c r="L913" s="70" t="s">
        <v>52</v>
      </c>
    </row>
    <row r="914" spans="3:12" ht="13.5" thickBot="1" x14ac:dyDescent="0.3">
      <c r="C914" s="473"/>
      <c r="D914" s="120">
        <f>+PPTO!A36</f>
        <v>4.16</v>
      </c>
      <c r="E914" s="476" t="str">
        <f>+PPTO!B36</f>
        <v>Suministro e instalacion tuberia pvc presion rde 21 d= 2"</v>
      </c>
      <c r="F914" s="476"/>
      <c r="G914" s="476"/>
      <c r="H914" s="476"/>
      <c r="I914" s="476"/>
      <c r="J914" s="476"/>
      <c r="K914" s="476"/>
      <c r="L914" s="71" t="str">
        <f>+PPTO!C36</f>
        <v>ML</v>
      </c>
    </row>
    <row r="915" spans="3:12" ht="13.5" thickBot="1" x14ac:dyDescent="0.3">
      <c r="C915" s="477"/>
      <c r="D915" s="478"/>
      <c r="E915" s="478"/>
      <c r="F915" s="478"/>
      <c r="G915" s="478"/>
      <c r="H915" s="478"/>
      <c r="I915" s="478"/>
      <c r="J915" s="478"/>
      <c r="K915" s="478"/>
      <c r="L915" s="479"/>
    </row>
    <row r="916" spans="3:12" x14ac:dyDescent="0.25">
      <c r="C916" s="466" t="s">
        <v>497</v>
      </c>
      <c r="D916" s="467"/>
      <c r="E916" s="467"/>
      <c r="F916" s="467"/>
      <c r="G916" s="467"/>
      <c r="H916" s="467"/>
      <c r="I916" s="467"/>
      <c r="J916" s="467"/>
      <c r="K916" s="467"/>
      <c r="L916" s="468"/>
    </row>
    <row r="917" spans="3:12" x14ac:dyDescent="0.25">
      <c r="C917" s="72" t="s">
        <v>66</v>
      </c>
      <c r="D917" s="492" t="s">
        <v>498</v>
      </c>
      <c r="E917" s="492"/>
      <c r="F917" s="492"/>
      <c r="G917" s="492"/>
      <c r="H917" s="492"/>
      <c r="I917" s="73" t="s">
        <v>499</v>
      </c>
      <c r="J917" s="74" t="s">
        <v>500</v>
      </c>
      <c r="K917" s="73" t="s">
        <v>501</v>
      </c>
      <c r="L917" s="70" t="s">
        <v>502</v>
      </c>
    </row>
    <row r="918" spans="3:12" x14ac:dyDescent="0.25">
      <c r="C918" s="75"/>
      <c r="D918" s="460"/>
      <c r="E918" s="499"/>
      <c r="F918" s="499"/>
      <c r="G918" s="499"/>
      <c r="H918" s="461"/>
      <c r="I918" s="76"/>
      <c r="J918" s="76"/>
      <c r="K918" s="77"/>
      <c r="L918" s="78"/>
    </row>
    <row r="919" spans="3:12" x14ac:dyDescent="0.25">
      <c r="C919" s="75"/>
      <c r="D919" s="493"/>
      <c r="E919" s="493"/>
      <c r="F919" s="493"/>
      <c r="G919" s="493"/>
      <c r="H919" s="493"/>
      <c r="I919" s="76"/>
      <c r="J919" s="80"/>
      <c r="K919" s="81"/>
      <c r="L919" s="78"/>
    </row>
    <row r="920" spans="3:12" x14ac:dyDescent="0.25">
      <c r="C920" s="79"/>
      <c r="D920" s="493" t="s">
        <v>503</v>
      </c>
      <c r="E920" s="493"/>
      <c r="F920" s="493"/>
      <c r="G920" s="493"/>
      <c r="H920" s="493"/>
      <c r="I920" s="76" t="s">
        <v>61</v>
      </c>
      <c r="J920" s="80">
        <v>1</v>
      </c>
      <c r="K920" s="81">
        <f>L943*0.1</f>
        <v>1033.8518945000001</v>
      </c>
      <c r="L920" s="82">
        <f>K920/J920</f>
        <v>1033.8518945000001</v>
      </c>
    </row>
    <row r="921" spans="3:12" ht="13.5" thickBot="1" x14ac:dyDescent="0.3">
      <c r="C921" s="83"/>
      <c r="D921" s="485" t="s">
        <v>504</v>
      </c>
      <c r="E921" s="485"/>
      <c r="F921" s="485"/>
      <c r="G921" s="485"/>
      <c r="H921" s="485"/>
      <c r="I921" s="485"/>
      <c r="J921" s="485"/>
      <c r="K921" s="485"/>
      <c r="L921" s="84">
        <f>SUM(L918:L920)</f>
        <v>1033.8518945000001</v>
      </c>
    </row>
    <row r="922" spans="3:12" ht="13.5" thickBot="1" x14ac:dyDescent="0.3">
      <c r="C922" s="477"/>
      <c r="D922" s="478"/>
      <c r="E922" s="478"/>
      <c r="F922" s="478"/>
      <c r="G922" s="478"/>
      <c r="H922" s="478"/>
      <c r="I922" s="478"/>
      <c r="J922" s="478"/>
      <c r="K922" s="478"/>
      <c r="L922" s="479"/>
    </row>
    <row r="923" spans="3:12" x14ac:dyDescent="0.25">
      <c r="C923" s="466" t="s">
        <v>505</v>
      </c>
      <c r="D923" s="467"/>
      <c r="E923" s="467"/>
      <c r="F923" s="467"/>
      <c r="G923" s="467"/>
      <c r="H923" s="467"/>
      <c r="I923" s="467"/>
      <c r="J923" s="467"/>
      <c r="K923" s="467"/>
      <c r="L923" s="468"/>
    </row>
    <row r="924" spans="3:12" ht="25.5" x14ac:dyDescent="0.25">
      <c r="C924" s="72" t="s">
        <v>66</v>
      </c>
      <c r="D924" s="492" t="s">
        <v>498</v>
      </c>
      <c r="E924" s="492"/>
      <c r="F924" s="492"/>
      <c r="G924" s="492"/>
      <c r="H924" s="73" t="s">
        <v>499</v>
      </c>
      <c r="I924" s="74" t="s">
        <v>506</v>
      </c>
      <c r="J924" s="73" t="s">
        <v>501</v>
      </c>
      <c r="K924" s="85" t="s">
        <v>507</v>
      </c>
      <c r="L924" s="70" t="s">
        <v>502</v>
      </c>
    </row>
    <row r="925" spans="3:12" x14ac:dyDescent="0.25">
      <c r="C925" s="113" t="s">
        <v>731</v>
      </c>
      <c r="D925" s="498" t="str">
        <f>+MATERIALES!$B$302</f>
        <v>Lubricante tarro</v>
      </c>
      <c r="E925" s="496"/>
      <c r="F925" s="496"/>
      <c r="G925" s="497"/>
      <c r="H925" s="73" t="str">
        <f>+MATERIALES!$C$302</f>
        <v>Kg</v>
      </c>
      <c r="I925" s="76">
        <v>0.01</v>
      </c>
      <c r="J925" s="86">
        <f>+MATERIALES!$D$302</f>
        <v>43900</v>
      </c>
      <c r="K925" s="87">
        <v>0.01</v>
      </c>
      <c r="L925" s="88">
        <f>I925*J925*(1+K925)</f>
        <v>443.39</v>
      </c>
    </row>
    <row r="926" spans="3:12" x14ac:dyDescent="0.25">
      <c r="C926" s="90" t="s">
        <v>732</v>
      </c>
      <c r="D926" s="498" t="str">
        <f>+MATERIALES!$B$303</f>
        <v>Limpiador PVC 760 grms</v>
      </c>
      <c r="E926" s="496"/>
      <c r="F926" s="496"/>
      <c r="G926" s="497"/>
      <c r="H926" s="73" t="str">
        <f>+MATERIALES!$C$303</f>
        <v>und</v>
      </c>
      <c r="I926" s="76">
        <v>0.05</v>
      </c>
      <c r="J926" s="86">
        <f>+MATERIALES!$D$303</f>
        <v>40900</v>
      </c>
      <c r="K926" s="87">
        <v>0.01</v>
      </c>
      <c r="L926" s="88">
        <f>I926*J926*(1+K926)</f>
        <v>2065.4499999999998</v>
      </c>
    </row>
    <row r="927" spans="3:12" x14ac:dyDescent="0.25">
      <c r="C927" s="90" t="s">
        <v>733</v>
      </c>
      <c r="D927" s="498" t="str">
        <f>+MATERIALES!$B$304</f>
        <v>Soldadura PVC 1/4 galon</v>
      </c>
      <c r="E927" s="496"/>
      <c r="F927" s="496"/>
      <c r="G927" s="497"/>
      <c r="H927" s="73" t="str">
        <f>+MATERIALES!$C$304</f>
        <v>und</v>
      </c>
      <c r="I927" s="76">
        <v>0.05</v>
      </c>
      <c r="J927" s="86">
        <f>+MATERIALES!$D$304</f>
        <v>84900</v>
      </c>
      <c r="K927" s="87">
        <v>0.01</v>
      </c>
      <c r="L927" s="88">
        <f>I927*J927*(1+K927)</f>
        <v>4287.45</v>
      </c>
    </row>
    <row r="928" spans="3:12" x14ac:dyDescent="0.25">
      <c r="C928" s="113" t="s">
        <v>735</v>
      </c>
      <c r="D928" s="498" t="str">
        <f>+MATERIALES!B306</f>
        <v>tuberia pvc presion rde 21 d= 2"</v>
      </c>
      <c r="E928" s="496"/>
      <c r="F928" s="496"/>
      <c r="G928" s="497"/>
      <c r="H928" s="73" t="str">
        <f>+MATERIALES!C306</f>
        <v>ML.</v>
      </c>
      <c r="I928" s="91">
        <v>1</v>
      </c>
      <c r="J928" s="86">
        <f>+MATERIALES!D306</f>
        <v>52831</v>
      </c>
      <c r="K928" s="93">
        <v>0</v>
      </c>
      <c r="L928" s="88">
        <f>I928*J928*(1+K928)</f>
        <v>52831</v>
      </c>
    </row>
    <row r="929" spans="3:15" ht="13.5" thickBot="1" x14ac:dyDescent="0.3">
      <c r="C929" s="94"/>
      <c r="D929" s="485" t="s">
        <v>508</v>
      </c>
      <c r="E929" s="485"/>
      <c r="F929" s="485"/>
      <c r="G929" s="485"/>
      <c r="H929" s="485"/>
      <c r="I929" s="485"/>
      <c r="J929" s="485"/>
      <c r="K929" s="485"/>
      <c r="L929" s="84">
        <f>SUM(L925:L928)</f>
        <v>59627.29</v>
      </c>
    </row>
    <row r="930" spans="3:15" ht="13.5" thickBot="1" x14ac:dyDescent="0.3">
      <c r="C930" s="486"/>
      <c r="D930" s="487"/>
      <c r="E930" s="487"/>
      <c r="F930" s="487"/>
      <c r="G930" s="487"/>
      <c r="H930" s="487"/>
      <c r="I930" s="487"/>
      <c r="J930" s="487"/>
      <c r="K930" s="487"/>
      <c r="L930" s="488"/>
    </row>
    <row r="931" spans="3:15" x14ac:dyDescent="0.25">
      <c r="C931" s="466" t="s">
        <v>509</v>
      </c>
      <c r="D931" s="467"/>
      <c r="E931" s="467"/>
      <c r="F931" s="467"/>
      <c r="G931" s="467"/>
      <c r="H931" s="467"/>
      <c r="I931" s="467"/>
      <c r="J931" s="467"/>
      <c r="K931" s="467"/>
      <c r="L931" s="468"/>
    </row>
    <row r="932" spans="3:15" x14ac:dyDescent="0.25">
      <c r="C932" s="72" t="s">
        <v>66</v>
      </c>
      <c r="D932" s="492" t="s">
        <v>498</v>
      </c>
      <c r="E932" s="492"/>
      <c r="F932" s="492"/>
      <c r="G932" s="492"/>
      <c r="H932" s="73" t="s">
        <v>506</v>
      </c>
      <c r="I932" s="73" t="s">
        <v>499</v>
      </c>
      <c r="J932" s="74" t="s">
        <v>510</v>
      </c>
      <c r="K932" s="85" t="s">
        <v>511</v>
      </c>
      <c r="L932" s="70" t="s">
        <v>502</v>
      </c>
    </row>
    <row r="933" spans="3:15" x14ac:dyDescent="0.25">
      <c r="C933" s="90"/>
      <c r="D933" s="494"/>
      <c r="E933" s="494"/>
      <c r="F933" s="494"/>
      <c r="G933" s="494"/>
      <c r="H933" s="76"/>
      <c r="I933" s="97"/>
      <c r="J933" s="97"/>
      <c r="K933" s="95"/>
      <c r="L933" s="96"/>
    </row>
    <row r="934" spans="3:15" x14ac:dyDescent="0.25">
      <c r="C934" s="90"/>
      <c r="D934" s="495"/>
      <c r="E934" s="495"/>
      <c r="F934" s="495"/>
      <c r="G934" s="495"/>
      <c r="H934" s="76"/>
      <c r="I934" s="97"/>
      <c r="J934" s="97"/>
      <c r="K934" s="95"/>
      <c r="L934" s="96"/>
    </row>
    <row r="935" spans="3:15" x14ac:dyDescent="0.25">
      <c r="C935" s="90"/>
      <c r="D935" s="495"/>
      <c r="E935" s="495"/>
      <c r="F935" s="495"/>
      <c r="G935" s="495"/>
      <c r="H935" s="76"/>
      <c r="I935" s="97"/>
      <c r="J935" s="97"/>
      <c r="K935" s="95"/>
      <c r="L935" s="96"/>
    </row>
    <row r="936" spans="3:15" ht="13.5" thickBot="1" x14ac:dyDescent="0.3">
      <c r="C936" s="83"/>
      <c r="D936" s="485" t="s">
        <v>512</v>
      </c>
      <c r="E936" s="485"/>
      <c r="F936" s="485"/>
      <c r="G936" s="485"/>
      <c r="H936" s="485"/>
      <c r="I936" s="485"/>
      <c r="J936" s="485"/>
      <c r="K936" s="485"/>
      <c r="L936" s="98">
        <f>L933</f>
        <v>0</v>
      </c>
    </row>
    <row r="937" spans="3:15" ht="13.5" thickBot="1" x14ac:dyDescent="0.3">
      <c r="C937" s="477"/>
      <c r="D937" s="478"/>
      <c r="E937" s="478"/>
      <c r="F937" s="478"/>
      <c r="G937" s="478"/>
      <c r="H937" s="478"/>
      <c r="I937" s="478"/>
      <c r="J937" s="478"/>
      <c r="K937" s="478"/>
      <c r="L937" s="479"/>
      <c r="O937" s="119">
        <f>71000-(L943+L921+L925+L926+L927)</f>
        <v>52831.3391605</v>
      </c>
    </row>
    <row r="938" spans="3:15" x14ac:dyDescent="0.25">
      <c r="C938" s="466" t="s">
        <v>513</v>
      </c>
      <c r="D938" s="467"/>
      <c r="E938" s="467"/>
      <c r="F938" s="467"/>
      <c r="G938" s="467"/>
      <c r="H938" s="467"/>
      <c r="I938" s="467"/>
      <c r="J938" s="467"/>
      <c r="K938" s="467"/>
      <c r="L938" s="468"/>
    </row>
    <row r="939" spans="3:15" x14ac:dyDescent="0.25">
      <c r="C939" s="72" t="s">
        <v>66</v>
      </c>
      <c r="D939" s="492" t="s">
        <v>498</v>
      </c>
      <c r="E939" s="492"/>
      <c r="F939" s="85" t="s">
        <v>499</v>
      </c>
      <c r="G939" s="85" t="s">
        <v>506</v>
      </c>
      <c r="H939" s="73" t="s">
        <v>514</v>
      </c>
      <c r="I939" s="99" t="s">
        <v>515</v>
      </c>
      <c r="J939" s="85" t="s">
        <v>516</v>
      </c>
      <c r="K939" s="99" t="s">
        <v>517</v>
      </c>
      <c r="L939" s="100" t="s">
        <v>502</v>
      </c>
    </row>
    <row r="940" spans="3:15" x14ac:dyDescent="0.25">
      <c r="C940" s="79" t="s">
        <v>519</v>
      </c>
      <c r="D940" s="460" t="str">
        <f>'MANO DE OBRA'!$B$3</f>
        <v>Ayudante</v>
      </c>
      <c r="E940" s="461"/>
      <c r="F940" s="97" t="str">
        <f>'MANO DE OBRA'!$C$2</f>
        <v>DIA</v>
      </c>
      <c r="G940" s="76">
        <v>2</v>
      </c>
      <c r="H940" s="101">
        <f>'MANO DE OBRA'!$D$3</f>
        <v>28981.77</v>
      </c>
      <c r="I940" s="102">
        <v>0.75649999999999995</v>
      </c>
      <c r="J940" s="103">
        <f>(H940+(H940*I940))</f>
        <v>50906.479005000001</v>
      </c>
      <c r="K940" s="76">
        <v>18</v>
      </c>
      <c r="L940" s="96">
        <f>G940*(J940/K940)</f>
        <v>5656.2754450000002</v>
      </c>
    </row>
    <row r="941" spans="3:15" x14ac:dyDescent="0.25">
      <c r="C941" s="112" t="s">
        <v>526</v>
      </c>
      <c r="D941" s="460" t="str">
        <f>'MANO DE OBRA'!$B$2</f>
        <v>Oficial</v>
      </c>
      <c r="E941" s="461"/>
      <c r="F941" s="97" t="str">
        <f>'MANO DE OBRA'!$C$2</f>
        <v>DIA</v>
      </c>
      <c r="G941" s="76">
        <v>1</v>
      </c>
      <c r="H941" s="101">
        <f>'MANO DE OBRA'!$D$2</f>
        <v>47982</v>
      </c>
      <c r="I941" s="102">
        <v>0.75649999999999995</v>
      </c>
      <c r="J941" s="103">
        <f>(H941+(H941*I941))</f>
        <v>84280.383000000002</v>
      </c>
      <c r="K941" s="76">
        <f>+K940</f>
        <v>18</v>
      </c>
      <c r="L941" s="96">
        <f>G941*(J941/K941)</f>
        <v>4682.2435000000005</v>
      </c>
    </row>
    <row r="942" spans="3:15" x14ac:dyDescent="0.25">
      <c r="C942" s="90"/>
      <c r="D942" s="493"/>
      <c r="E942" s="493"/>
      <c r="F942" s="97"/>
      <c r="G942" s="76"/>
      <c r="H942" s="101"/>
      <c r="I942" s="102"/>
      <c r="J942" s="103"/>
      <c r="K942" s="76"/>
      <c r="L942" s="96"/>
    </row>
    <row r="943" spans="3:15" ht="13.5" thickBot="1" x14ac:dyDescent="0.3">
      <c r="C943" s="83"/>
      <c r="D943" s="485" t="s">
        <v>520</v>
      </c>
      <c r="E943" s="485"/>
      <c r="F943" s="485"/>
      <c r="G943" s="485"/>
      <c r="H943" s="485"/>
      <c r="I943" s="485"/>
      <c r="J943" s="485"/>
      <c r="K943" s="485"/>
      <c r="L943" s="98">
        <f>L941+L940</f>
        <v>10338.518945</v>
      </c>
    </row>
    <row r="944" spans="3:15" ht="13.5" thickBot="1" x14ac:dyDescent="0.3">
      <c r="C944" s="486"/>
      <c r="D944" s="487"/>
      <c r="E944" s="487"/>
      <c r="F944" s="487"/>
      <c r="G944" s="487"/>
      <c r="H944" s="487"/>
      <c r="I944" s="487"/>
      <c r="J944" s="487"/>
      <c r="K944" s="487"/>
      <c r="L944" s="488"/>
    </row>
    <row r="945" spans="3:12" ht="13.5" thickBot="1" x14ac:dyDescent="0.3">
      <c r="C945" s="489" t="s">
        <v>521</v>
      </c>
      <c r="D945" s="490"/>
      <c r="E945" s="490"/>
      <c r="F945" s="490"/>
      <c r="G945" s="490"/>
      <c r="H945" s="490"/>
      <c r="I945" s="490"/>
      <c r="J945" s="491"/>
      <c r="K945" s="145">
        <f>ROUND(L943+L936+L929+L921,0)</f>
        <v>71000</v>
      </c>
      <c r="L945" s="146"/>
    </row>
    <row r="947" spans="3:12" ht="13.5" thickBot="1" x14ac:dyDescent="0.3"/>
    <row r="948" spans="3:12" x14ac:dyDescent="0.25">
      <c r="C948" s="466" t="s">
        <v>495</v>
      </c>
      <c r="D948" s="467"/>
      <c r="E948" s="467"/>
      <c r="F948" s="467"/>
      <c r="G948" s="467"/>
      <c r="H948" s="467"/>
      <c r="I948" s="467"/>
      <c r="J948" s="467"/>
      <c r="K948" s="467"/>
      <c r="L948" s="468"/>
    </row>
    <row r="949" spans="3:12" ht="12.75" customHeight="1" x14ac:dyDescent="0.25">
      <c r="C949" s="469" t="str">
        <f>+PPTO!$A$2</f>
        <v>REPOSICION E INSTALACION VALVULAS DE SECTORIZACION EN DIFERENTES SECTORES DEL MUNICIPIO DE PIEDECUESTA - SANTANDER.</v>
      </c>
      <c r="D949" s="470"/>
      <c r="E949" s="470"/>
      <c r="F949" s="470"/>
      <c r="G949" s="470"/>
      <c r="H949" s="470"/>
      <c r="I949" s="470"/>
      <c r="J949" s="470"/>
      <c r="K949" s="470"/>
      <c r="L949" s="471"/>
    </row>
    <row r="950" spans="3:12" x14ac:dyDescent="0.25">
      <c r="C950" s="472" t="s">
        <v>496</v>
      </c>
      <c r="D950" s="141">
        <f>+PPTO!$A$20</f>
        <v>4</v>
      </c>
      <c r="E950" s="474" t="str">
        <f>+PPTO!$B$20</f>
        <v>SUMINISTRO E INSTALACION DE TUBERIAS Y ACCESORIOS.</v>
      </c>
      <c r="F950" s="475"/>
      <c r="G950" s="475"/>
      <c r="H950" s="475"/>
      <c r="I950" s="475"/>
      <c r="J950" s="475"/>
      <c r="K950" s="475"/>
      <c r="L950" s="70" t="s">
        <v>52</v>
      </c>
    </row>
    <row r="951" spans="3:12" ht="13.5" thickBot="1" x14ac:dyDescent="0.3">
      <c r="C951" s="473"/>
      <c r="D951" s="120">
        <f>+PPTO!A37</f>
        <v>4.17</v>
      </c>
      <c r="E951" s="476" t="str">
        <f>+PPTO!B37</f>
        <v>Suministro e instalacion tuberia pvc presion rde 21 d= 3"</v>
      </c>
      <c r="F951" s="476"/>
      <c r="G951" s="476"/>
      <c r="H951" s="476"/>
      <c r="I951" s="476"/>
      <c r="J951" s="476"/>
      <c r="K951" s="476"/>
      <c r="L951" s="71" t="str">
        <f>+PPTO!C37</f>
        <v>ML</v>
      </c>
    </row>
    <row r="952" spans="3:12" ht="13.5" thickBot="1" x14ac:dyDescent="0.3">
      <c r="C952" s="477"/>
      <c r="D952" s="478"/>
      <c r="E952" s="478"/>
      <c r="F952" s="478"/>
      <c r="G952" s="478"/>
      <c r="H952" s="478"/>
      <c r="I952" s="478"/>
      <c r="J952" s="478"/>
      <c r="K952" s="478"/>
      <c r="L952" s="479"/>
    </row>
    <row r="953" spans="3:12" x14ac:dyDescent="0.25">
      <c r="C953" s="466" t="s">
        <v>497</v>
      </c>
      <c r="D953" s="467"/>
      <c r="E953" s="467"/>
      <c r="F953" s="467"/>
      <c r="G953" s="467"/>
      <c r="H953" s="467"/>
      <c r="I953" s="467"/>
      <c r="J953" s="467"/>
      <c r="K953" s="467"/>
      <c r="L953" s="468"/>
    </row>
    <row r="954" spans="3:12" x14ac:dyDescent="0.25">
      <c r="C954" s="72" t="s">
        <v>66</v>
      </c>
      <c r="D954" s="492" t="s">
        <v>498</v>
      </c>
      <c r="E954" s="492"/>
      <c r="F954" s="492"/>
      <c r="G954" s="492"/>
      <c r="H954" s="492"/>
      <c r="I954" s="73" t="s">
        <v>499</v>
      </c>
      <c r="J954" s="74" t="s">
        <v>500</v>
      </c>
      <c r="K954" s="73" t="s">
        <v>501</v>
      </c>
      <c r="L954" s="70" t="s">
        <v>502</v>
      </c>
    </row>
    <row r="955" spans="3:12" x14ac:dyDescent="0.25">
      <c r="C955" s="75"/>
      <c r="D955" s="460"/>
      <c r="E955" s="499"/>
      <c r="F955" s="499"/>
      <c r="G955" s="499"/>
      <c r="H955" s="461"/>
      <c r="I955" s="76"/>
      <c r="J955" s="76"/>
      <c r="K955" s="77"/>
      <c r="L955" s="78"/>
    </row>
    <row r="956" spans="3:12" x14ac:dyDescent="0.25">
      <c r="C956" s="75"/>
      <c r="D956" s="493"/>
      <c r="E956" s="493"/>
      <c r="F956" s="493"/>
      <c r="G956" s="493"/>
      <c r="H956" s="493"/>
      <c r="I956" s="76"/>
      <c r="J956" s="80"/>
      <c r="K956" s="81"/>
      <c r="L956" s="78"/>
    </row>
    <row r="957" spans="3:12" x14ac:dyDescent="0.25">
      <c r="C957" s="79"/>
      <c r="D957" s="493" t="s">
        <v>503</v>
      </c>
      <c r="E957" s="493"/>
      <c r="F957" s="493"/>
      <c r="G957" s="493"/>
      <c r="H957" s="493"/>
      <c r="I957" s="76" t="s">
        <v>61</v>
      </c>
      <c r="J957" s="80">
        <v>1</v>
      </c>
      <c r="K957" s="81">
        <f>L980*0.1</f>
        <v>1094.6667118235296</v>
      </c>
      <c r="L957" s="82">
        <f>K957/J957</f>
        <v>1094.6667118235296</v>
      </c>
    </row>
    <row r="958" spans="3:12" ht="13.5" thickBot="1" x14ac:dyDescent="0.3">
      <c r="C958" s="83"/>
      <c r="D958" s="485" t="s">
        <v>504</v>
      </c>
      <c r="E958" s="485"/>
      <c r="F958" s="485"/>
      <c r="G958" s="485"/>
      <c r="H958" s="485"/>
      <c r="I958" s="485"/>
      <c r="J958" s="485"/>
      <c r="K958" s="485"/>
      <c r="L958" s="84">
        <f>SUM(L955:L957)</f>
        <v>1094.6667118235296</v>
      </c>
    </row>
    <row r="959" spans="3:12" ht="13.5" thickBot="1" x14ac:dyDescent="0.3">
      <c r="C959" s="477"/>
      <c r="D959" s="478"/>
      <c r="E959" s="478"/>
      <c r="F959" s="478"/>
      <c r="G959" s="478"/>
      <c r="H959" s="478"/>
      <c r="I959" s="478"/>
      <c r="J959" s="478"/>
      <c r="K959" s="478"/>
      <c r="L959" s="479"/>
    </row>
    <row r="960" spans="3:12" x14ac:dyDescent="0.25">
      <c r="C960" s="466" t="s">
        <v>505</v>
      </c>
      <c r="D960" s="467"/>
      <c r="E960" s="467"/>
      <c r="F960" s="467"/>
      <c r="G960" s="467"/>
      <c r="H960" s="467"/>
      <c r="I960" s="467"/>
      <c r="J960" s="467"/>
      <c r="K960" s="467"/>
      <c r="L960" s="468"/>
    </row>
    <row r="961" spans="3:15" ht="25.5" x14ac:dyDescent="0.25">
      <c r="C961" s="72" t="s">
        <v>66</v>
      </c>
      <c r="D961" s="492" t="s">
        <v>498</v>
      </c>
      <c r="E961" s="492"/>
      <c r="F961" s="492"/>
      <c r="G961" s="492"/>
      <c r="H961" s="73" t="s">
        <v>499</v>
      </c>
      <c r="I961" s="74" t="s">
        <v>506</v>
      </c>
      <c r="J961" s="73" t="s">
        <v>501</v>
      </c>
      <c r="K961" s="85" t="s">
        <v>507</v>
      </c>
      <c r="L961" s="70" t="s">
        <v>502</v>
      </c>
    </row>
    <row r="962" spans="3:15" x14ac:dyDescent="0.25">
      <c r="C962" s="113" t="s">
        <v>731</v>
      </c>
      <c r="D962" s="498" t="str">
        <f>+MATERIALES!$B$302</f>
        <v>Lubricante tarro</v>
      </c>
      <c r="E962" s="496"/>
      <c r="F962" s="496"/>
      <c r="G962" s="497"/>
      <c r="H962" s="73" t="str">
        <f>+MATERIALES!$C$302</f>
        <v>Kg</v>
      </c>
      <c r="I962" s="76">
        <v>0.01</v>
      </c>
      <c r="J962" s="86">
        <f>+MATERIALES!$D$302</f>
        <v>43900</v>
      </c>
      <c r="K962" s="87">
        <v>0.01</v>
      </c>
      <c r="L962" s="88">
        <f>I962*J962*(1+K962)</f>
        <v>443.39</v>
      </c>
    </row>
    <row r="963" spans="3:15" x14ac:dyDescent="0.25">
      <c r="C963" s="90" t="s">
        <v>732</v>
      </c>
      <c r="D963" s="498" t="str">
        <f>+MATERIALES!$B$303</f>
        <v>Limpiador PVC 760 grms</v>
      </c>
      <c r="E963" s="496"/>
      <c r="F963" s="496"/>
      <c r="G963" s="497"/>
      <c r="H963" s="73" t="str">
        <f>+MATERIALES!$C$303</f>
        <v>und</v>
      </c>
      <c r="I963" s="76">
        <v>0.05</v>
      </c>
      <c r="J963" s="86">
        <f>+MATERIALES!$D$303</f>
        <v>40900</v>
      </c>
      <c r="K963" s="87">
        <v>0.01</v>
      </c>
      <c r="L963" s="88">
        <f>I963*J963*(1+K963)</f>
        <v>2065.4499999999998</v>
      </c>
    </row>
    <row r="964" spans="3:15" x14ac:dyDescent="0.25">
      <c r="C964" s="90" t="s">
        <v>733</v>
      </c>
      <c r="D964" s="498" t="str">
        <f>+MATERIALES!$B$304</f>
        <v>Soldadura PVC 1/4 galon</v>
      </c>
      <c r="E964" s="496"/>
      <c r="F964" s="496"/>
      <c r="G964" s="497"/>
      <c r="H964" s="73" t="str">
        <f>+MATERIALES!$C$304</f>
        <v>und</v>
      </c>
      <c r="I964" s="76">
        <v>0.05</v>
      </c>
      <c r="J964" s="86">
        <f>+MATERIALES!$D$304</f>
        <v>84900</v>
      </c>
      <c r="K964" s="87">
        <v>0.01</v>
      </c>
      <c r="L964" s="88">
        <f>I964*J964*(1+K964)</f>
        <v>4287.45</v>
      </c>
    </row>
    <row r="965" spans="3:15" x14ac:dyDescent="0.25">
      <c r="C965" s="113" t="s">
        <v>736</v>
      </c>
      <c r="D965" s="498" t="str">
        <f>+MATERIALES!B307</f>
        <v>tuberia pvc presion rde 21 d= 3"</v>
      </c>
      <c r="E965" s="496"/>
      <c r="F965" s="496"/>
      <c r="G965" s="497"/>
      <c r="H965" s="73" t="str">
        <f>+MATERIALES!C307</f>
        <v>ML.</v>
      </c>
      <c r="I965" s="91">
        <v>1</v>
      </c>
      <c r="J965" s="86">
        <f>+MATERIALES!D307</f>
        <v>127962</v>
      </c>
      <c r="K965" s="93">
        <v>0</v>
      </c>
      <c r="L965" s="88">
        <f>I965*J965*(1+K965)</f>
        <v>127962</v>
      </c>
    </row>
    <row r="966" spans="3:15" ht="13.5" thickBot="1" x14ac:dyDescent="0.3">
      <c r="C966" s="94"/>
      <c r="D966" s="485" t="s">
        <v>508</v>
      </c>
      <c r="E966" s="485"/>
      <c r="F966" s="485"/>
      <c r="G966" s="485"/>
      <c r="H966" s="485"/>
      <c r="I966" s="485"/>
      <c r="J966" s="485"/>
      <c r="K966" s="485"/>
      <c r="L966" s="84">
        <f>SUM(L962:L965)</f>
        <v>134758.29</v>
      </c>
    </row>
    <row r="967" spans="3:15" ht="13.5" thickBot="1" x14ac:dyDescent="0.3">
      <c r="C967" s="486"/>
      <c r="D967" s="487"/>
      <c r="E967" s="487"/>
      <c r="F967" s="487"/>
      <c r="G967" s="487"/>
      <c r="H967" s="487"/>
      <c r="I967" s="487"/>
      <c r="J967" s="487"/>
      <c r="K967" s="487"/>
      <c r="L967" s="488"/>
    </row>
    <row r="968" spans="3:15" x14ac:dyDescent="0.25">
      <c r="C968" s="466" t="s">
        <v>509</v>
      </c>
      <c r="D968" s="467"/>
      <c r="E968" s="467"/>
      <c r="F968" s="467"/>
      <c r="G968" s="467"/>
      <c r="H968" s="467"/>
      <c r="I968" s="467"/>
      <c r="J968" s="467"/>
      <c r="K968" s="467"/>
      <c r="L968" s="468"/>
    </row>
    <row r="969" spans="3:15" x14ac:dyDescent="0.25">
      <c r="C969" s="72" t="s">
        <v>66</v>
      </c>
      <c r="D969" s="492" t="s">
        <v>498</v>
      </c>
      <c r="E969" s="492"/>
      <c r="F969" s="492"/>
      <c r="G969" s="492"/>
      <c r="H969" s="73" t="s">
        <v>506</v>
      </c>
      <c r="I969" s="73" t="s">
        <v>499</v>
      </c>
      <c r="J969" s="74" t="s">
        <v>510</v>
      </c>
      <c r="K969" s="85" t="s">
        <v>511</v>
      </c>
      <c r="L969" s="70" t="s">
        <v>502</v>
      </c>
    </row>
    <row r="970" spans="3:15" x14ac:dyDescent="0.25">
      <c r="C970" s="90"/>
      <c r="D970" s="494"/>
      <c r="E970" s="494"/>
      <c r="F970" s="494"/>
      <c r="G970" s="494"/>
      <c r="H970" s="76"/>
      <c r="I970" s="97"/>
      <c r="J970" s="97"/>
      <c r="K970" s="95"/>
      <c r="L970" s="96"/>
    </row>
    <row r="971" spans="3:15" x14ac:dyDescent="0.25">
      <c r="C971" s="90"/>
      <c r="D971" s="495"/>
      <c r="E971" s="495"/>
      <c r="F971" s="495"/>
      <c r="G971" s="495"/>
      <c r="H971" s="76"/>
      <c r="I971" s="97"/>
      <c r="J971" s="97"/>
      <c r="K971" s="95"/>
      <c r="L971" s="96"/>
    </row>
    <row r="972" spans="3:15" x14ac:dyDescent="0.25">
      <c r="C972" s="90"/>
      <c r="D972" s="495"/>
      <c r="E972" s="495"/>
      <c r="F972" s="495"/>
      <c r="G972" s="495"/>
      <c r="H972" s="76"/>
      <c r="I972" s="97"/>
      <c r="J972" s="97"/>
      <c r="K972" s="95"/>
      <c r="L972" s="96"/>
    </row>
    <row r="973" spans="3:15" ht="13.5" thickBot="1" x14ac:dyDescent="0.3">
      <c r="C973" s="83"/>
      <c r="D973" s="485" t="s">
        <v>512</v>
      </c>
      <c r="E973" s="485"/>
      <c r="F973" s="485"/>
      <c r="G973" s="485"/>
      <c r="H973" s="485"/>
      <c r="I973" s="485"/>
      <c r="J973" s="485"/>
      <c r="K973" s="485"/>
      <c r="L973" s="98">
        <f>L970</f>
        <v>0</v>
      </c>
    </row>
    <row r="974" spans="3:15" ht="13.5" thickBot="1" x14ac:dyDescent="0.3">
      <c r="C974" s="477"/>
      <c r="D974" s="478"/>
      <c r="E974" s="478"/>
      <c r="F974" s="478"/>
      <c r="G974" s="478"/>
      <c r="H974" s="478"/>
      <c r="I974" s="478"/>
      <c r="J974" s="478"/>
      <c r="K974" s="478"/>
      <c r="L974" s="479"/>
      <c r="O974" s="119">
        <f>146800-(L980+L958+L962+L963+L964)</f>
        <v>127962.37616994118</v>
      </c>
    </row>
    <row r="975" spans="3:15" x14ac:dyDescent="0.25">
      <c r="C975" s="466" t="s">
        <v>513</v>
      </c>
      <c r="D975" s="467"/>
      <c r="E975" s="467"/>
      <c r="F975" s="467"/>
      <c r="G975" s="467"/>
      <c r="H975" s="467"/>
      <c r="I975" s="467"/>
      <c r="J975" s="467"/>
      <c r="K975" s="467"/>
      <c r="L975" s="468"/>
    </row>
    <row r="976" spans="3:15" x14ac:dyDescent="0.25">
      <c r="C976" s="72" t="s">
        <v>66</v>
      </c>
      <c r="D976" s="492" t="s">
        <v>498</v>
      </c>
      <c r="E976" s="492"/>
      <c r="F976" s="85" t="s">
        <v>499</v>
      </c>
      <c r="G976" s="85" t="s">
        <v>506</v>
      </c>
      <c r="H976" s="73" t="s">
        <v>514</v>
      </c>
      <c r="I976" s="99" t="s">
        <v>515</v>
      </c>
      <c r="J976" s="85" t="s">
        <v>516</v>
      </c>
      <c r="K976" s="99" t="s">
        <v>517</v>
      </c>
      <c r="L976" s="100" t="s">
        <v>502</v>
      </c>
    </row>
    <row r="977" spans="3:12" x14ac:dyDescent="0.25">
      <c r="C977" s="79" t="s">
        <v>519</v>
      </c>
      <c r="D977" s="460" t="str">
        <f>'MANO DE OBRA'!$B$3</f>
        <v>Ayudante</v>
      </c>
      <c r="E977" s="461"/>
      <c r="F977" s="97" t="str">
        <f>'MANO DE OBRA'!$C$2</f>
        <v>DIA</v>
      </c>
      <c r="G977" s="76">
        <v>2</v>
      </c>
      <c r="H977" s="101">
        <f>'MANO DE OBRA'!$D$3</f>
        <v>28981.77</v>
      </c>
      <c r="I977" s="102">
        <v>0.75649999999999995</v>
      </c>
      <c r="J977" s="103">
        <f>(H977+(H977*I977))</f>
        <v>50906.479005000001</v>
      </c>
      <c r="K977" s="76">
        <v>17</v>
      </c>
      <c r="L977" s="96">
        <f>G977*(J977/K977)</f>
        <v>5988.9975300000006</v>
      </c>
    </row>
    <row r="978" spans="3:12" x14ac:dyDescent="0.25">
      <c r="C978" s="112" t="s">
        <v>526</v>
      </c>
      <c r="D978" s="460" t="str">
        <f>'MANO DE OBRA'!$B$2</f>
        <v>Oficial</v>
      </c>
      <c r="E978" s="461"/>
      <c r="F978" s="97" t="str">
        <f>'MANO DE OBRA'!$C$2</f>
        <v>DIA</v>
      </c>
      <c r="G978" s="76">
        <v>1</v>
      </c>
      <c r="H978" s="101">
        <f>'MANO DE OBRA'!$D$2</f>
        <v>47982</v>
      </c>
      <c r="I978" s="102">
        <v>0.75649999999999995</v>
      </c>
      <c r="J978" s="103">
        <f>(H978+(H978*I978))</f>
        <v>84280.383000000002</v>
      </c>
      <c r="K978" s="76">
        <f>+K977</f>
        <v>17</v>
      </c>
      <c r="L978" s="96">
        <f>G978*(J978/K978)</f>
        <v>4957.6695882352942</v>
      </c>
    </row>
    <row r="979" spans="3:12" x14ac:dyDescent="0.25">
      <c r="C979" s="90"/>
      <c r="D979" s="493"/>
      <c r="E979" s="493"/>
      <c r="F979" s="97"/>
      <c r="G979" s="76"/>
      <c r="H979" s="101"/>
      <c r="I979" s="102"/>
      <c r="J979" s="103"/>
      <c r="K979" s="76"/>
      <c r="L979" s="96"/>
    </row>
    <row r="980" spans="3:12" ht="13.5" thickBot="1" x14ac:dyDescent="0.3">
      <c r="C980" s="83"/>
      <c r="D980" s="485" t="s">
        <v>520</v>
      </c>
      <c r="E980" s="485"/>
      <c r="F980" s="485"/>
      <c r="G980" s="485"/>
      <c r="H980" s="485"/>
      <c r="I980" s="485"/>
      <c r="J980" s="485"/>
      <c r="K980" s="485"/>
      <c r="L980" s="98">
        <f>L978+L977</f>
        <v>10946.667118235295</v>
      </c>
    </row>
    <row r="981" spans="3:12" ht="13.5" thickBot="1" x14ac:dyDescent="0.3">
      <c r="C981" s="486"/>
      <c r="D981" s="487"/>
      <c r="E981" s="487"/>
      <c r="F981" s="487"/>
      <c r="G981" s="487"/>
      <c r="H981" s="487"/>
      <c r="I981" s="487"/>
      <c r="J981" s="487"/>
      <c r="K981" s="487"/>
      <c r="L981" s="488"/>
    </row>
    <row r="982" spans="3:12" ht="13.5" thickBot="1" x14ac:dyDescent="0.3">
      <c r="C982" s="489" t="s">
        <v>521</v>
      </c>
      <c r="D982" s="490"/>
      <c r="E982" s="490"/>
      <c r="F982" s="490"/>
      <c r="G982" s="490"/>
      <c r="H982" s="490"/>
      <c r="I982" s="490"/>
      <c r="J982" s="491"/>
      <c r="K982" s="145">
        <f>ROUND(L980+L973+L966+L958,0)</f>
        <v>146800</v>
      </c>
      <c r="L982" s="146"/>
    </row>
    <row r="984" spans="3:12" ht="13.5" thickBot="1" x14ac:dyDescent="0.3"/>
    <row r="985" spans="3:12" x14ac:dyDescent="0.25">
      <c r="C985" s="466" t="s">
        <v>495</v>
      </c>
      <c r="D985" s="467"/>
      <c r="E985" s="467"/>
      <c r="F985" s="467"/>
      <c r="G985" s="467"/>
      <c r="H985" s="467"/>
      <c r="I985" s="467"/>
      <c r="J985" s="467"/>
      <c r="K985" s="467"/>
      <c r="L985" s="468"/>
    </row>
    <row r="986" spans="3:12" ht="12.75" customHeight="1" x14ac:dyDescent="0.25">
      <c r="C986" s="469" t="str">
        <f>+PPTO!$A$2</f>
        <v>REPOSICION E INSTALACION VALVULAS DE SECTORIZACION EN DIFERENTES SECTORES DEL MUNICIPIO DE PIEDECUESTA - SANTANDER.</v>
      </c>
      <c r="D986" s="470"/>
      <c r="E986" s="470"/>
      <c r="F986" s="470"/>
      <c r="G986" s="470"/>
      <c r="H986" s="470"/>
      <c r="I986" s="470"/>
      <c r="J986" s="470"/>
      <c r="K986" s="470"/>
      <c r="L986" s="471"/>
    </row>
    <row r="987" spans="3:12" x14ac:dyDescent="0.25">
      <c r="C987" s="472" t="s">
        <v>496</v>
      </c>
      <c r="D987" s="141">
        <f>+PPTO!$A$20</f>
        <v>4</v>
      </c>
      <c r="E987" s="474" t="str">
        <f>+PPTO!$B$20</f>
        <v>SUMINISTRO E INSTALACION DE TUBERIAS Y ACCESORIOS.</v>
      </c>
      <c r="F987" s="475"/>
      <c r="G987" s="475"/>
      <c r="H987" s="475"/>
      <c r="I987" s="475"/>
      <c r="J987" s="475"/>
      <c r="K987" s="475"/>
      <c r="L987" s="70" t="s">
        <v>52</v>
      </c>
    </row>
    <row r="988" spans="3:12" ht="13.5" thickBot="1" x14ac:dyDescent="0.3">
      <c r="C988" s="473"/>
      <c r="D988" s="120">
        <f>+PPTO!A38</f>
        <v>4.18</v>
      </c>
      <c r="E988" s="476" t="str">
        <f>+PPTO!B38</f>
        <v>Suministro e instalacion tuberia pvc presion rde 21 d= 6"</v>
      </c>
      <c r="F988" s="476"/>
      <c r="G988" s="476"/>
      <c r="H988" s="476"/>
      <c r="I988" s="476"/>
      <c r="J988" s="476"/>
      <c r="K988" s="476"/>
      <c r="L988" s="71" t="str">
        <f>+PPTO!C38</f>
        <v>ML</v>
      </c>
    </row>
    <row r="989" spans="3:12" ht="13.5" thickBot="1" x14ac:dyDescent="0.3">
      <c r="C989" s="477"/>
      <c r="D989" s="478"/>
      <c r="E989" s="478"/>
      <c r="F989" s="478"/>
      <c r="G989" s="478"/>
      <c r="H989" s="478"/>
      <c r="I989" s="478"/>
      <c r="J989" s="478"/>
      <c r="K989" s="478"/>
      <c r="L989" s="479"/>
    </row>
    <row r="990" spans="3:12" x14ac:dyDescent="0.25">
      <c r="C990" s="466" t="s">
        <v>497</v>
      </c>
      <c r="D990" s="467"/>
      <c r="E990" s="467"/>
      <c r="F990" s="467"/>
      <c r="G990" s="467"/>
      <c r="H990" s="467"/>
      <c r="I990" s="467"/>
      <c r="J990" s="467"/>
      <c r="K990" s="467"/>
      <c r="L990" s="468"/>
    </row>
    <row r="991" spans="3:12" x14ac:dyDescent="0.25">
      <c r="C991" s="72" t="s">
        <v>66</v>
      </c>
      <c r="D991" s="492" t="s">
        <v>498</v>
      </c>
      <c r="E991" s="492"/>
      <c r="F991" s="492"/>
      <c r="G991" s="492"/>
      <c r="H991" s="492"/>
      <c r="I991" s="73" t="s">
        <v>499</v>
      </c>
      <c r="J991" s="74" t="s">
        <v>500</v>
      </c>
      <c r="K991" s="73" t="s">
        <v>501</v>
      </c>
      <c r="L991" s="70" t="s">
        <v>502</v>
      </c>
    </row>
    <row r="992" spans="3:12" x14ac:dyDescent="0.25">
      <c r="C992" s="75"/>
      <c r="D992" s="460"/>
      <c r="E992" s="499"/>
      <c r="F992" s="499"/>
      <c r="G992" s="499"/>
      <c r="H992" s="461"/>
      <c r="I992" s="76"/>
      <c r="J992" s="76"/>
      <c r="K992" s="77"/>
      <c r="L992" s="78"/>
    </row>
    <row r="993" spans="3:12" x14ac:dyDescent="0.25">
      <c r="C993" s="75"/>
      <c r="D993" s="493"/>
      <c r="E993" s="493"/>
      <c r="F993" s="493"/>
      <c r="G993" s="493"/>
      <c r="H993" s="493"/>
      <c r="I993" s="76"/>
      <c r="J993" s="80"/>
      <c r="K993" s="81"/>
      <c r="L993" s="78"/>
    </row>
    <row r="994" spans="3:12" x14ac:dyDescent="0.25">
      <c r="C994" s="79"/>
      <c r="D994" s="493" t="s">
        <v>503</v>
      </c>
      <c r="E994" s="493"/>
      <c r="F994" s="493"/>
      <c r="G994" s="493"/>
      <c r="H994" s="493"/>
      <c r="I994" s="76" t="s">
        <v>61</v>
      </c>
      <c r="J994" s="80">
        <v>1</v>
      </c>
      <c r="K994" s="81">
        <f>L1017*0.1</f>
        <v>1431.4872385384617</v>
      </c>
      <c r="L994" s="82">
        <f>K994/J994</f>
        <v>1431.4872385384617</v>
      </c>
    </row>
    <row r="995" spans="3:12" ht="13.5" thickBot="1" x14ac:dyDescent="0.3">
      <c r="C995" s="83"/>
      <c r="D995" s="485" t="s">
        <v>504</v>
      </c>
      <c r="E995" s="485"/>
      <c r="F995" s="485"/>
      <c r="G995" s="485"/>
      <c r="H995" s="485"/>
      <c r="I995" s="485"/>
      <c r="J995" s="485"/>
      <c r="K995" s="485"/>
      <c r="L995" s="84">
        <f>SUM(L992:L994)</f>
        <v>1431.4872385384617</v>
      </c>
    </row>
    <row r="996" spans="3:12" ht="13.5" thickBot="1" x14ac:dyDescent="0.3">
      <c r="C996" s="477"/>
      <c r="D996" s="478"/>
      <c r="E996" s="478"/>
      <c r="F996" s="478"/>
      <c r="G996" s="478"/>
      <c r="H996" s="478"/>
      <c r="I996" s="478"/>
      <c r="J996" s="478"/>
      <c r="K996" s="478"/>
      <c r="L996" s="479"/>
    </row>
    <row r="997" spans="3:12" x14ac:dyDescent="0.25">
      <c r="C997" s="466" t="s">
        <v>505</v>
      </c>
      <c r="D997" s="467"/>
      <c r="E997" s="467"/>
      <c r="F997" s="467"/>
      <c r="G997" s="467"/>
      <c r="H997" s="467"/>
      <c r="I997" s="467"/>
      <c r="J997" s="467"/>
      <c r="K997" s="467"/>
      <c r="L997" s="468"/>
    </row>
    <row r="998" spans="3:12" ht="25.5" x14ac:dyDescent="0.25">
      <c r="C998" s="72" t="s">
        <v>66</v>
      </c>
      <c r="D998" s="492" t="s">
        <v>498</v>
      </c>
      <c r="E998" s="492"/>
      <c r="F998" s="492"/>
      <c r="G998" s="492"/>
      <c r="H998" s="73" t="s">
        <v>499</v>
      </c>
      <c r="I998" s="74" t="s">
        <v>506</v>
      </c>
      <c r="J998" s="73" t="s">
        <v>501</v>
      </c>
      <c r="K998" s="85" t="s">
        <v>507</v>
      </c>
      <c r="L998" s="70" t="s">
        <v>502</v>
      </c>
    </row>
    <row r="999" spans="3:12" x14ac:dyDescent="0.25">
      <c r="C999" s="113" t="s">
        <v>731</v>
      </c>
      <c r="D999" s="498" t="str">
        <f>+MATERIALES!$B$302</f>
        <v>Lubricante tarro</v>
      </c>
      <c r="E999" s="496"/>
      <c r="F999" s="496"/>
      <c r="G999" s="497"/>
      <c r="H999" s="73" t="str">
        <f>+MATERIALES!$C$302</f>
        <v>Kg</v>
      </c>
      <c r="I999" s="76">
        <v>0.01</v>
      </c>
      <c r="J999" s="86">
        <f>+MATERIALES!$D$302</f>
        <v>43900</v>
      </c>
      <c r="K999" s="87">
        <v>0.01</v>
      </c>
      <c r="L999" s="88">
        <f>I999*J999*(1+K999)</f>
        <v>443.39</v>
      </c>
    </row>
    <row r="1000" spans="3:12" x14ac:dyDescent="0.25">
      <c r="C1000" s="90" t="s">
        <v>732</v>
      </c>
      <c r="D1000" s="498" t="str">
        <f>+MATERIALES!$B$303</f>
        <v>Limpiador PVC 760 grms</v>
      </c>
      <c r="E1000" s="496"/>
      <c r="F1000" s="496"/>
      <c r="G1000" s="497"/>
      <c r="H1000" s="73" t="str">
        <f>+MATERIALES!$C$303</f>
        <v>und</v>
      </c>
      <c r="I1000" s="76">
        <v>0.05</v>
      </c>
      <c r="J1000" s="86">
        <f>+MATERIALES!$D$303</f>
        <v>40900</v>
      </c>
      <c r="K1000" s="87">
        <v>0.01</v>
      </c>
      <c r="L1000" s="88">
        <f>I1000*J1000*(1+K1000)</f>
        <v>2065.4499999999998</v>
      </c>
    </row>
    <row r="1001" spans="3:12" x14ac:dyDescent="0.25">
      <c r="C1001" s="90" t="s">
        <v>733</v>
      </c>
      <c r="D1001" s="498" t="str">
        <f>+MATERIALES!$B$304</f>
        <v>Soldadura PVC 1/4 galon</v>
      </c>
      <c r="E1001" s="496"/>
      <c r="F1001" s="496"/>
      <c r="G1001" s="497"/>
      <c r="H1001" s="73" t="str">
        <f>+MATERIALES!$C$304</f>
        <v>und</v>
      </c>
      <c r="I1001" s="76">
        <v>0.05</v>
      </c>
      <c r="J1001" s="86">
        <f>+MATERIALES!$D$304</f>
        <v>84900</v>
      </c>
      <c r="K1001" s="87">
        <v>0.01</v>
      </c>
      <c r="L1001" s="88">
        <f>I1001*J1001*(1+K1001)</f>
        <v>4287.45</v>
      </c>
    </row>
    <row r="1002" spans="3:12" x14ac:dyDescent="0.25">
      <c r="C1002" s="113" t="s">
        <v>737</v>
      </c>
      <c r="D1002" s="498" t="str">
        <f>+MATERIALES!B308</f>
        <v>tuberia pvc presion rde 21 d= 6"</v>
      </c>
      <c r="E1002" s="496"/>
      <c r="F1002" s="496"/>
      <c r="G1002" s="497"/>
      <c r="H1002" s="73" t="str">
        <f>+MATERIALES!C308</f>
        <v>ML.</v>
      </c>
      <c r="I1002" s="91">
        <v>1</v>
      </c>
      <c r="J1002" s="86">
        <f>+MATERIALES!D308</f>
        <v>91357</v>
      </c>
      <c r="K1002" s="93">
        <v>0</v>
      </c>
      <c r="L1002" s="88">
        <f>I1002*J1002*(1+K1002)</f>
        <v>91357</v>
      </c>
    </row>
    <row r="1003" spans="3:12" ht="13.5" thickBot="1" x14ac:dyDescent="0.3">
      <c r="C1003" s="94"/>
      <c r="D1003" s="485" t="s">
        <v>508</v>
      </c>
      <c r="E1003" s="485"/>
      <c r="F1003" s="485"/>
      <c r="G1003" s="485"/>
      <c r="H1003" s="485"/>
      <c r="I1003" s="485"/>
      <c r="J1003" s="485"/>
      <c r="K1003" s="485"/>
      <c r="L1003" s="84">
        <f>SUM(L999:L1002)</f>
        <v>98153.29</v>
      </c>
    </row>
    <row r="1004" spans="3:12" ht="13.5" thickBot="1" x14ac:dyDescent="0.3">
      <c r="C1004" s="486"/>
      <c r="D1004" s="487"/>
      <c r="E1004" s="487"/>
      <c r="F1004" s="487"/>
      <c r="G1004" s="487"/>
      <c r="H1004" s="487"/>
      <c r="I1004" s="487"/>
      <c r="J1004" s="487"/>
      <c r="K1004" s="487"/>
      <c r="L1004" s="488"/>
    </row>
    <row r="1005" spans="3:12" x14ac:dyDescent="0.25">
      <c r="C1005" s="466" t="s">
        <v>509</v>
      </c>
      <c r="D1005" s="467"/>
      <c r="E1005" s="467"/>
      <c r="F1005" s="467"/>
      <c r="G1005" s="467"/>
      <c r="H1005" s="467"/>
      <c r="I1005" s="467"/>
      <c r="J1005" s="467"/>
      <c r="K1005" s="467"/>
      <c r="L1005" s="468"/>
    </row>
    <row r="1006" spans="3:12" x14ac:dyDescent="0.25">
      <c r="C1006" s="72" t="s">
        <v>66</v>
      </c>
      <c r="D1006" s="492" t="s">
        <v>498</v>
      </c>
      <c r="E1006" s="492"/>
      <c r="F1006" s="492"/>
      <c r="G1006" s="492"/>
      <c r="H1006" s="73" t="s">
        <v>506</v>
      </c>
      <c r="I1006" s="73" t="s">
        <v>499</v>
      </c>
      <c r="J1006" s="74" t="s">
        <v>510</v>
      </c>
      <c r="K1006" s="85" t="s">
        <v>511</v>
      </c>
      <c r="L1006" s="70" t="s">
        <v>502</v>
      </c>
    </row>
    <row r="1007" spans="3:12" x14ac:dyDescent="0.25">
      <c r="C1007" s="90"/>
      <c r="D1007" s="494"/>
      <c r="E1007" s="494"/>
      <c r="F1007" s="494"/>
      <c r="G1007" s="494"/>
      <c r="H1007" s="76"/>
      <c r="I1007" s="97"/>
      <c r="J1007" s="97"/>
      <c r="K1007" s="95"/>
      <c r="L1007" s="96"/>
    </row>
    <row r="1008" spans="3:12" x14ac:dyDescent="0.25">
      <c r="C1008" s="90"/>
      <c r="D1008" s="495"/>
      <c r="E1008" s="495"/>
      <c r="F1008" s="495"/>
      <c r="G1008" s="495"/>
      <c r="H1008" s="76"/>
      <c r="I1008" s="97"/>
      <c r="J1008" s="97"/>
      <c r="K1008" s="95"/>
      <c r="L1008" s="96"/>
    </row>
    <row r="1009" spans="3:15" x14ac:dyDescent="0.25">
      <c r="C1009" s="90"/>
      <c r="D1009" s="495"/>
      <c r="E1009" s="495"/>
      <c r="F1009" s="495"/>
      <c r="G1009" s="495"/>
      <c r="H1009" s="76"/>
      <c r="I1009" s="97"/>
      <c r="J1009" s="97"/>
      <c r="K1009" s="95"/>
      <c r="L1009" s="96"/>
    </row>
    <row r="1010" spans="3:15" ht="13.5" thickBot="1" x14ac:dyDescent="0.3">
      <c r="C1010" s="83"/>
      <c r="D1010" s="485" t="s">
        <v>512</v>
      </c>
      <c r="E1010" s="485"/>
      <c r="F1010" s="485"/>
      <c r="G1010" s="485"/>
      <c r="H1010" s="485"/>
      <c r="I1010" s="485"/>
      <c r="J1010" s="485"/>
      <c r="K1010" s="485"/>
      <c r="L1010" s="98">
        <f>L1007</f>
        <v>0</v>
      </c>
    </row>
    <row r="1011" spans="3:15" ht="13.5" thickBot="1" x14ac:dyDescent="0.3">
      <c r="C1011" s="477"/>
      <c r="D1011" s="478"/>
      <c r="E1011" s="478"/>
      <c r="F1011" s="478"/>
      <c r="G1011" s="478"/>
      <c r="H1011" s="478"/>
      <c r="I1011" s="478"/>
      <c r="J1011" s="478"/>
      <c r="K1011" s="478"/>
      <c r="L1011" s="479"/>
      <c r="O1011" s="119">
        <f>113900-(L1017+L995+L999+L1000+L1001)</f>
        <v>91357.350376076924</v>
      </c>
    </row>
    <row r="1012" spans="3:15" x14ac:dyDescent="0.25">
      <c r="C1012" s="466" t="s">
        <v>513</v>
      </c>
      <c r="D1012" s="467"/>
      <c r="E1012" s="467"/>
      <c r="F1012" s="467"/>
      <c r="G1012" s="467"/>
      <c r="H1012" s="467"/>
      <c r="I1012" s="467"/>
      <c r="J1012" s="467"/>
      <c r="K1012" s="467"/>
      <c r="L1012" s="468"/>
    </row>
    <row r="1013" spans="3:15" x14ac:dyDescent="0.25">
      <c r="C1013" s="72" t="s">
        <v>66</v>
      </c>
      <c r="D1013" s="492" t="s">
        <v>498</v>
      </c>
      <c r="E1013" s="492"/>
      <c r="F1013" s="85" t="s">
        <v>499</v>
      </c>
      <c r="G1013" s="85" t="s">
        <v>506</v>
      </c>
      <c r="H1013" s="73" t="s">
        <v>514</v>
      </c>
      <c r="I1013" s="99" t="s">
        <v>515</v>
      </c>
      <c r="J1013" s="85" t="s">
        <v>516</v>
      </c>
      <c r="K1013" s="99" t="s">
        <v>517</v>
      </c>
      <c r="L1013" s="100" t="s">
        <v>502</v>
      </c>
    </row>
    <row r="1014" spans="3:15" x14ac:dyDescent="0.25">
      <c r="C1014" s="79" t="s">
        <v>519</v>
      </c>
      <c r="D1014" s="460" t="str">
        <f>'MANO DE OBRA'!$B$3</f>
        <v>Ayudante</v>
      </c>
      <c r="E1014" s="461"/>
      <c r="F1014" s="97" t="str">
        <f>'MANO DE OBRA'!$C$2</f>
        <v>DIA</v>
      </c>
      <c r="G1014" s="76">
        <v>2</v>
      </c>
      <c r="H1014" s="101">
        <f>'MANO DE OBRA'!$D$3</f>
        <v>28981.77</v>
      </c>
      <c r="I1014" s="102">
        <v>0.75649999999999995</v>
      </c>
      <c r="J1014" s="103">
        <f>(H1014+(H1014*I1014))</f>
        <v>50906.479005000001</v>
      </c>
      <c r="K1014" s="76">
        <v>13</v>
      </c>
      <c r="L1014" s="96">
        <f>G1014*(J1014/K1014)</f>
        <v>7831.7660007692311</v>
      </c>
    </row>
    <row r="1015" spans="3:15" x14ac:dyDescent="0.25">
      <c r="C1015" s="112" t="s">
        <v>526</v>
      </c>
      <c r="D1015" s="460" t="str">
        <f>'MANO DE OBRA'!$B$2</f>
        <v>Oficial</v>
      </c>
      <c r="E1015" s="461"/>
      <c r="F1015" s="97" t="str">
        <f>'MANO DE OBRA'!$C$2</f>
        <v>DIA</v>
      </c>
      <c r="G1015" s="76">
        <v>1</v>
      </c>
      <c r="H1015" s="101">
        <f>'MANO DE OBRA'!$D$2</f>
        <v>47982</v>
      </c>
      <c r="I1015" s="102">
        <v>0.75649999999999995</v>
      </c>
      <c r="J1015" s="103">
        <f>(H1015+(H1015*I1015))</f>
        <v>84280.383000000002</v>
      </c>
      <c r="K1015" s="76">
        <f>+K1014</f>
        <v>13</v>
      </c>
      <c r="L1015" s="96">
        <f>G1015*(J1015/K1015)</f>
        <v>6483.1063846153847</v>
      </c>
    </row>
    <row r="1016" spans="3:15" x14ac:dyDescent="0.25">
      <c r="C1016" s="90"/>
      <c r="D1016" s="493"/>
      <c r="E1016" s="493"/>
      <c r="F1016" s="97"/>
      <c r="G1016" s="76"/>
      <c r="H1016" s="101"/>
      <c r="I1016" s="102"/>
      <c r="J1016" s="103"/>
      <c r="K1016" s="76"/>
      <c r="L1016" s="96"/>
    </row>
    <row r="1017" spans="3:15" ht="13.5" thickBot="1" x14ac:dyDescent="0.3">
      <c r="C1017" s="83"/>
      <c r="D1017" s="485" t="s">
        <v>520</v>
      </c>
      <c r="E1017" s="485"/>
      <c r="F1017" s="485"/>
      <c r="G1017" s="485"/>
      <c r="H1017" s="485"/>
      <c r="I1017" s="485"/>
      <c r="J1017" s="485"/>
      <c r="K1017" s="485"/>
      <c r="L1017" s="98">
        <f>L1015+L1014</f>
        <v>14314.872385384617</v>
      </c>
    </row>
    <row r="1018" spans="3:15" ht="13.5" thickBot="1" x14ac:dyDescent="0.3">
      <c r="C1018" s="486"/>
      <c r="D1018" s="487"/>
      <c r="E1018" s="487"/>
      <c r="F1018" s="487"/>
      <c r="G1018" s="487"/>
      <c r="H1018" s="487"/>
      <c r="I1018" s="487"/>
      <c r="J1018" s="487"/>
      <c r="K1018" s="487"/>
      <c r="L1018" s="488"/>
    </row>
    <row r="1019" spans="3:15" ht="13.5" thickBot="1" x14ac:dyDescent="0.3">
      <c r="C1019" s="489" t="s">
        <v>521</v>
      </c>
      <c r="D1019" s="490"/>
      <c r="E1019" s="490"/>
      <c r="F1019" s="490"/>
      <c r="G1019" s="490"/>
      <c r="H1019" s="490"/>
      <c r="I1019" s="490"/>
      <c r="J1019" s="491"/>
      <c r="K1019" s="145">
        <f>ROUND(L1017+L1010+L1003+L995,0)</f>
        <v>113900</v>
      </c>
      <c r="L1019" s="146"/>
    </row>
    <row r="1021" spans="3:15" ht="13.5" thickBot="1" x14ac:dyDescent="0.3"/>
    <row r="1022" spans="3:15" x14ac:dyDescent="0.25">
      <c r="C1022" s="466" t="s">
        <v>495</v>
      </c>
      <c r="D1022" s="467"/>
      <c r="E1022" s="467"/>
      <c r="F1022" s="467"/>
      <c r="G1022" s="467"/>
      <c r="H1022" s="467"/>
      <c r="I1022" s="467"/>
      <c r="J1022" s="467"/>
      <c r="K1022" s="467"/>
      <c r="L1022" s="468"/>
    </row>
    <row r="1023" spans="3:15" ht="12.75" customHeight="1" x14ac:dyDescent="0.25">
      <c r="C1023" s="469" t="str">
        <f>+PPTO!$A$2</f>
        <v>REPOSICION E INSTALACION VALVULAS DE SECTORIZACION EN DIFERENTES SECTORES DEL MUNICIPIO DE PIEDECUESTA - SANTANDER.</v>
      </c>
      <c r="D1023" s="470"/>
      <c r="E1023" s="470"/>
      <c r="F1023" s="470"/>
      <c r="G1023" s="470"/>
      <c r="H1023" s="470"/>
      <c r="I1023" s="470"/>
      <c r="J1023" s="470"/>
      <c r="K1023" s="470"/>
      <c r="L1023" s="471"/>
    </row>
    <row r="1024" spans="3:15" x14ac:dyDescent="0.25">
      <c r="C1024" s="472" t="s">
        <v>496</v>
      </c>
      <c r="D1024" s="141">
        <f>+PPTO!$A$20</f>
        <v>4</v>
      </c>
      <c r="E1024" s="474" t="str">
        <f>+PPTO!$B$20</f>
        <v>SUMINISTRO E INSTALACION DE TUBERIAS Y ACCESORIOS.</v>
      </c>
      <c r="F1024" s="475"/>
      <c r="G1024" s="475"/>
      <c r="H1024" s="475"/>
      <c r="I1024" s="475"/>
      <c r="J1024" s="475"/>
      <c r="K1024" s="475"/>
      <c r="L1024" s="70" t="s">
        <v>52</v>
      </c>
    </row>
    <row r="1025" spans="3:12" ht="13.5" thickBot="1" x14ac:dyDescent="0.3">
      <c r="C1025" s="473"/>
      <c r="D1025" s="120">
        <f>+PPTO!A39</f>
        <v>4.1900000000000004</v>
      </c>
      <c r="E1025" s="476" t="str">
        <f>+PPTO!B39</f>
        <v>Suministro e instalación tubería pvc presión rde 21 d= 8"</v>
      </c>
      <c r="F1025" s="476"/>
      <c r="G1025" s="476"/>
      <c r="H1025" s="476"/>
      <c r="I1025" s="476"/>
      <c r="J1025" s="476"/>
      <c r="K1025" s="476"/>
      <c r="L1025" s="71" t="str">
        <f>+PPTO!C39</f>
        <v>ML</v>
      </c>
    </row>
    <row r="1026" spans="3:12" ht="13.5" thickBot="1" x14ac:dyDescent="0.3">
      <c r="C1026" s="477"/>
      <c r="D1026" s="478"/>
      <c r="E1026" s="478"/>
      <c r="F1026" s="478"/>
      <c r="G1026" s="478"/>
      <c r="H1026" s="478"/>
      <c r="I1026" s="478"/>
      <c r="J1026" s="478"/>
      <c r="K1026" s="478"/>
      <c r="L1026" s="479"/>
    </row>
    <row r="1027" spans="3:12" x14ac:dyDescent="0.25">
      <c r="C1027" s="466" t="s">
        <v>497</v>
      </c>
      <c r="D1027" s="467"/>
      <c r="E1027" s="467"/>
      <c r="F1027" s="467"/>
      <c r="G1027" s="467"/>
      <c r="H1027" s="467"/>
      <c r="I1027" s="467"/>
      <c r="J1027" s="467"/>
      <c r="K1027" s="467"/>
      <c r="L1027" s="468"/>
    </row>
    <row r="1028" spans="3:12" x14ac:dyDescent="0.25">
      <c r="C1028" s="72" t="s">
        <v>66</v>
      </c>
      <c r="D1028" s="492" t="s">
        <v>498</v>
      </c>
      <c r="E1028" s="492"/>
      <c r="F1028" s="492"/>
      <c r="G1028" s="492"/>
      <c r="H1028" s="492"/>
      <c r="I1028" s="73" t="s">
        <v>499</v>
      </c>
      <c r="J1028" s="74" t="s">
        <v>500</v>
      </c>
      <c r="K1028" s="73" t="s">
        <v>501</v>
      </c>
      <c r="L1028" s="70" t="s">
        <v>502</v>
      </c>
    </row>
    <row r="1029" spans="3:12" x14ac:dyDescent="0.25">
      <c r="C1029" s="75"/>
      <c r="D1029" s="460"/>
      <c r="E1029" s="499"/>
      <c r="F1029" s="499"/>
      <c r="G1029" s="499"/>
      <c r="H1029" s="461"/>
      <c r="I1029" s="76"/>
      <c r="J1029" s="76"/>
      <c r="K1029" s="77"/>
      <c r="L1029" s="78"/>
    </row>
    <row r="1030" spans="3:12" x14ac:dyDescent="0.25">
      <c r="C1030" s="147" t="s">
        <v>12</v>
      </c>
      <c r="D1030" s="493" t="str">
        <f>+EQUIPO!$B$7</f>
        <v>Diferencial</v>
      </c>
      <c r="E1030" s="493"/>
      <c r="F1030" s="493"/>
      <c r="G1030" s="493"/>
      <c r="H1030" s="493"/>
      <c r="I1030" s="76" t="str">
        <f>+EQUIPO!$C$7</f>
        <v>día</v>
      </c>
      <c r="J1030" s="80">
        <v>10</v>
      </c>
      <c r="K1030" s="81">
        <f>+EQUIPO!$D$7</f>
        <v>50000</v>
      </c>
      <c r="L1030" s="78">
        <f>+K1030/J1030</f>
        <v>5000</v>
      </c>
    </row>
    <row r="1031" spans="3:12" x14ac:dyDescent="0.25">
      <c r="C1031" s="79"/>
      <c r="D1031" s="493" t="s">
        <v>503</v>
      </c>
      <c r="E1031" s="493"/>
      <c r="F1031" s="493"/>
      <c r="G1031" s="493"/>
      <c r="H1031" s="493"/>
      <c r="I1031" s="76" t="s">
        <v>61</v>
      </c>
      <c r="J1031" s="80">
        <v>1</v>
      </c>
      <c r="K1031" s="81">
        <f>L1054*0.1</f>
        <v>1691.7576455454546</v>
      </c>
      <c r="L1031" s="82">
        <f>K1031/J1031</f>
        <v>1691.7576455454546</v>
      </c>
    </row>
    <row r="1032" spans="3:12" ht="13.5" thickBot="1" x14ac:dyDescent="0.3">
      <c r="C1032" s="83"/>
      <c r="D1032" s="485" t="s">
        <v>504</v>
      </c>
      <c r="E1032" s="485"/>
      <c r="F1032" s="485"/>
      <c r="G1032" s="485"/>
      <c r="H1032" s="485"/>
      <c r="I1032" s="485"/>
      <c r="J1032" s="485"/>
      <c r="K1032" s="485"/>
      <c r="L1032" s="84">
        <f>SUM(L1029:L1031)</f>
        <v>6691.7576455454546</v>
      </c>
    </row>
    <row r="1033" spans="3:12" ht="13.5" thickBot="1" x14ac:dyDescent="0.3">
      <c r="C1033" s="477"/>
      <c r="D1033" s="478"/>
      <c r="E1033" s="478"/>
      <c r="F1033" s="478"/>
      <c r="G1033" s="478"/>
      <c r="H1033" s="478"/>
      <c r="I1033" s="478"/>
      <c r="J1033" s="478"/>
      <c r="K1033" s="478"/>
      <c r="L1033" s="479"/>
    </row>
    <row r="1034" spans="3:12" x14ac:dyDescent="0.25">
      <c r="C1034" s="466" t="s">
        <v>505</v>
      </c>
      <c r="D1034" s="467"/>
      <c r="E1034" s="467"/>
      <c r="F1034" s="467"/>
      <c r="G1034" s="467"/>
      <c r="H1034" s="467"/>
      <c r="I1034" s="467"/>
      <c r="J1034" s="467"/>
      <c r="K1034" s="467"/>
      <c r="L1034" s="468"/>
    </row>
    <row r="1035" spans="3:12" ht="25.5" x14ac:dyDescent="0.25">
      <c r="C1035" s="72" t="s">
        <v>66</v>
      </c>
      <c r="D1035" s="492" t="s">
        <v>498</v>
      </c>
      <c r="E1035" s="492"/>
      <c r="F1035" s="492"/>
      <c r="G1035" s="492"/>
      <c r="H1035" s="73" t="s">
        <v>499</v>
      </c>
      <c r="I1035" s="74" t="s">
        <v>506</v>
      </c>
      <c r="J1035" s="73" t="s">
        <v>501</v>
      </c>
      <c r="K1035" s="85" t="s">
        <v>507</v>
      </c>
      <c r="L1035" s="70" t="s">
        <v>502</v>
      </c>
    </row>
    <row r="1036" spans="3:12" x14ac:dyDescent="0.25">
      <c r="C1036" s="113" t="s">
        <v>731</v>
      </c>
      <c r="D1036" s="498" t="str">
        <f>+MATERIALES!$B$302</f>
        <v>Lubricante tarro</v>
      </c>
      <c r="E1036" s="496"/>
      <c r="F1036" s="496"/>
      <c r="G1036" s="497"/>
      <c r="H1036" s="73" t="str">
        <f>+MATERIALES!$C$302</f>
        <v>Kg</v>
      </c>
      <c r="I1036" s="76">
        <v>0.01</v>
      </c>
      <c r="J1036" s="86">
        <f>+MATERIALES!$D$302</f>
        <v>43900</v>
      </c>
      <c r="K1036" s="87">
        <v>0.01</v>
      </c>
      <c r="L1036" s="88">
        <f>I1036*J1036*(1+K1036)</f>
        <v>443.39</v>
      </c>
    </row>
    <row r="1037" spans="3:12" x14ac:dyDescent="0.25">
      <c r="C1037" s="90" t="s">
        <v>732</v>
      </c>
      <c r="D1037" s="498" t="str">
        <f>+MATERIALES!$B$303</f>
        <v>Limpiador PVC 760 grms</v>
      </c>
      <c r="E1037" s="496"/>
      <c r="F1037" s="496"/>
      <c r="G1037" s="497"/>
      <c r="H1037" s="73" t="str">
        <f>+MATERIALES!$C$303</f>
        <v>und</v>
      </c>
      <c r="I1037" s="76">
        <v>0.05</v>
      </c>
      <c r="J1037" s="86">
        <f>+MATERIALES!$D$303</f>
        <v>40900</v>
      </c>
      <c r="K1037" s="87">
        <v>0.01</v>
      </c>
      <c r="L1037" s="88">
        <f>I1037*J1037*(1+K1037)</f>
        <v>2065.4499999999998</v>
      </c>
    </row>
    <row r="1038" spans="3:12" x14ac:dyDescent="0.25">
      <c r="C1038" s="90" t="s">
        <v>733</v>
      </c>
      <c r="D1038" s="498" t="str">
        <f>+MATERIALES!$B$304</f>
        <v>Soldadura PVC 1/4 galon</v>
      </c>
      <c r="E1038" s="496"/>
      <c r="F1038" s="496"/>
      <c r="G1038" s="497"/>
      <c r="H1038" s="73" t="str">
        <f>+MATERIALES!$C$304</f>
        <v>und</v>
      </c>
      <c r="I1038" s="76">
        <v>0.05</v>
      </c>
      <c r="J1038" s="86">
        <f>+MATERIALES!$D$304</f>
        <v>84900</v>
      </c>
      <c r="K1038" s="87">
        <v>0.01</v>
      </c>
      <c r="L1038" s="88">
        <f>I1038*J1038*(1+K1038)</f>
        <v>4287.45</v>
      </c>
    </row>
    <row r="1039" spans="3:12" x14ac:dyDescent="0.25">
      <c r="C1039" s="113" t="s">
        <v>747</v>
      </c>
      <c r="D1039" s="498" t="str">
        <f>+MATERIALES!B309</f>
        <v>tubería pvc presión rde 21 d= 8"</v>
      </c>
      <c r="E1039" s="496"/>
      <c r="F1039" s="496"/>
      <c r="G1039" s="497"/>
      <c r="H1039" s="73" t="str">
        <f>+MATERIALES!C309</f>
        <v>ML.</v>
      </c>
      <c r="I1039" s="91">
        <v>1</v>
      </c>
      <c r="J1039" s="86">
        <f>+MATERIALES!D309</f>
        <v>152894</v>
      </c>
      <c r="K1039" s="93">
        <v>0</v>
      </c>
      <c r="L1039" s="88">
        <f>I1039*J1039*(1+K1039)</f>
        <v>152894</v>
      </c>
    </row>
    <row r="1040" spans="3:12" ht="13.5" thickBot="1" x14ac:dyDescent="0.3">
      <c r="C1040" s="94"/>
      <c r="D1040" s="485" t="s">
        <v>508</v>
      </c>
      <c r="E1040" s="485"/>
      <c r="F1040" s="485"/>
      <c r="G1040" s="485"/>
      <c r="H1040" s="485"/>
      <c r="I1040" s="485"/>
      <c r="J1040" s="485"/>
      <c r="K1040" s="485"/>
      <c r="L1040" s="84">
        <f>SUM(L1036:L1039)</f>
        <v>159690.29</v>
      </c>
    </row>
    <row r="1041" spans="3:15" ht="13.5" thickBot="1" x14ac:dyDescent="0.3">
      <c r="C1041" s="486"/>
      <c r="D1041" s="487"/>
      <c r="E1041" s="487"/>
      <c r="F1041" s="487"/>
      <c r="G1041" s="487"/>
      <c r="H1041" s="487"/>
      <c r="I1041" s="487"/>
      <c r="J1041" s="487"/>
      <c r="K1041" s="487"/>
      <c r="L1041" s="488"/>
    </row>
    <row r="1042" spans="3:15" x14ac:dyDescent="0.25">
      <c r="C1042" s="466" t="s">
        <v>509</v>
      </c>
      <c r="D1042" s="467"/>
      <c r="E1042" s="467"/>
      <c r="F1042" s="467"/>
      <c r="G1042" s="467"/>
      <c r="H1042" s="467"/>
      <c r="I1042" s="467"/>
      <c r="J1042" s="467"/>
      <c r="K1042" s="467"/>
      <c r="L1042" s="468"/>
    </row>
    <row r="1043" spans="3:15" x14ac:dyDescent="0.25">
      <c r="C1043" s="72" t="s">
        <v>66</v>
      </c>
      <c r="D1043" s="492" t="s">
        <v>498</v>
      </c>
      <c r="E1043" s="492"/>
      <c r="F1043" s="492"/>
      <c r="G1043" s="492"/>
      <c r="H1043" s="73" t="s">
        <v>506</v>
      </c>
      <c r="I1043" s="73" t="s">
        <v>499</v>
      </c>
      <c r="J1043" s="74" t="s">
        <v>510</v>
      </c>
      <c r="K1043" s="85" t="s">
        <v>511</v>
      </c>
      <c r="L1043" s="70" t="s">
        <v>502</v>
      </c>
    </row>
    <row r="1044" spans="3:15" x14ac:dyDescent="0.25">
      <c r="C1044" s="90"/>
      <c r="D1044" s="494"/>
      <c r="E1044" s="494"/>
      <c r="F1044" s="494"/>
      <c r="G1044" s="494"/>
      <c r="H1044" s="76"/>
      <c r="I1044" s="97"/>
      <c r="J1044" s="97"/>
      <c r="K1044" s="95"/>
      <c r="L1044" s="96"/>
    </row>
    <row r="1045" spans="3:15" x14ac:dyDescent="0.25">
      <c r="C1045" s="90"/>
      <c r="D1045" s="495"/>
      <c r="E1045" s="495"/>
      <c r="F1045" s="495"/>
      <c r="G1045" s="495"/>
      <c r="H1045" s="76"/>
      <c r="I1045" s="97"/>
      <c r="J1045" s="97"/>
      <c r="K1045" s="95"/>
      <c r="L1045" s="96"/>
    </row>
    <row r="1046" spans="3:15" x14ac:dyDescent="0.25">
      <c r="C1046" s="90"/>
      <c r="D1046" s="495"/>
      <c r="E1046" s="495"/>
      <c r="F1046" s="495"/>
      <c r="G1046" s="495"/>
      <c r="H1046" s="76"/>
      <c r="I1046" s="97"/>
      <c r="J1046" s="97"/>
      <c r="K1046" s="95"/>
      <c r="L1046" s="96"/>
    </row>
    <row r="1047" spans="3:15" ht="13.5" thickBot="1" x14ac:dyDescent="0.3">
      <c r="C1047" s="83"/>
      <c r="D1047" s="485" t="s">
        <v>512</v>
      </c>
      <c r="E1047" s="485"/>
      <c r="F1047" s="485"/>
      <c r="G1047" s="485"/>
      <c r="H1047" s="485"/>
      <c r="I1047" s="485"/>
      <c r="J1047" s="485"/>
      <c r="K1047" s="485"/>
      <c r="L1047" s="98">
        <f>L1044</f>
        <v>0</v>
      </c>
    </row>
    <row r="1048" spans="3:15" ht="13.5" thickBot="1" x14ac:dyDescent="0.3">
      <c r="C1048" s="477"/>
      <c r="D1048" s="478"/>
      <c r="E1048" s="478"/>
      <c r="F1048" s="478"/>
      <c r="G1048" s="478"/>
      <c r="H1048" s="478"/>
      <c r="I1048" s="478"/>
      <c r="J1048" s="478"/>
      <c r="K1048" s="478"/>
      <c r="L1048" s="479"/>
      <c r="O1048" s="119">
        <f>183300-(L1054+L1032+L1036+L1037+L1038)</f>
        <v>152894.37589900001</v>
      </c>
    </row>
    <row r="1049" spans="3:15" x14ac:dyDescent="0.25">
      <c r="C1049" s="466" t="s">
        <v>513</v>
      </c>
      <c r="D1049" s="467"/>
      <c r="E1049" s="467"/>
      <c r="F1049" s="467"/>
      <c r="G1049" s="467"/>
      <c r="H1049" s="467"/>
      <c r="I1049" s="467"/>
      <c r="J1049" s="467"/>
      <c r="K1049" s="467"/>
      <c r="L1049" s="468"/>
    </row>
    <row r="1050" spans="3:15" x14ac:dyDescent="0.25">
      <c r="C1050" s="72" t="s">
        <v>66</v>
      </c>
      <c r="D1050" s="492" t="s">
        <v>498</v>
      </c>
      <c r="E1050" s="492"/>
      <c r="F1050" s="85" t="s">
        <v>499</v>
      </c>
      <c r="G1050" s="85" t="s">
        <v>506</v>
      </c>
      <c r="H1050" s="73" t="s">
        <v>514</v>
      </c>
      <c r="I1050" s="99" t="s">
        <v>515</v>
      </c>
      <c r="J1050" s="85" t="s">
        <v>516</v>
      </c>
      <c r="K1050" s="99" t="s">
        <v>517</v>
      </c>
      <c r="L1050" s="100" t="s">
        <v>502</v>
      </c>
    </row>
    <row r="1051" spans="3:15" x14ac:dyDescent="0.25">
      <c r="C1051" s="79" t="s">
        <v>519</v>
      </c>
      <c r="D1051" s="460" t="str">
        <f>'MANO DE OBRA'!$B$3</f>
        <v>Ayudante</v>
      </c>
      <c r="E1051" s="461"/>
      <c r="F1051" s="97" t="str">
        <f>'MANO DE OBRA'!$C$2</f>
        <v>DIA</v>
      </c>
      <c r="G1051" s="76">
        <v>2</v>
      </c>
      <c r="H1051" s="101">
        <f>'MANO DE OBRA'!$D$3</f>
        <v>28981.77</v>
      </c>
      <c r="I1051" s="102">
        <v>0.75649999999999995</v>
      </c>
      <c r="J1051" s="103">
        <f>(H1051+(H1051*I1051))</f>
        <v>50906.479005000001</v>
      </c>
      <c r="K1051" s="76">
        <v>11</v>
      </c>
      <c r="L1051" s="96">
        <f>G1051*(J1051/K1051)</f>
        <v>9255.7234554545448</v>
      </c>
    </row>
    <row r="1052" spans="3:15" x14ac:dyDescent="0.25">
      <c r="C1052" s="112" t="s">
        <v>526</v>
      </c>
      <c r="D1052" s="460" t="str">
        <f>'MANO DE OBRA'!$B$2</f>
        <v>Oficial</v>
      </c>
      <c r="E1052" s="461"/>
      <c r="F1052" s="97" t="str">
        <f>'MANO DE OBRA'!$C$2</f>
        <v>DIA</v>
      </c>
      <c r="G1052" s="76">
        <v>1</v>
      </c>
      <c r="H1052" s="101">
        <f>'MANO DE OBRA'!$D$2</f>
        <v>47982</v>
      </c>
      <c r="I1052" s="102">
        <v>0.75649999999999995</v>
      </c>
      <c r="J1052" s="103">
        <f>(H1052+(H1052*I1052))</f>
        <v>84280.383000000002</v>
      </c>
      <c r="K1052" s="76">
        <f>+K1051</f>
        <v>11</v>
      </c>
      <c r="L1052" s="96">
        <f>G1052*(J1052/K1052)</f>
        <v>7661.8530000000001</v>
      </c>
    </row>
    <row r="1053" spans="3:15" x14ac:dyDescent="0.25">
      <c r="C1053" s="90"/>
      <c r="D1053" s="493"/>
      <c r="E1053" s="493"/>
      <c r="F1053" s="97"/>
      <c r="G1053" s="76"/>
      <c r="H1053" s="101"/>
      <c r="I1053" s="102"/>
      <c r="J1053" s="103"/>
      <c r="K1053" s="76"/>
      <c r="L1053" s="96"/>
    </row>
    <row r="1054" spans="3:15" ht="13.5" thickBot="1" x14ac:dyDescent="0.3">
      <c r="C1054" s="83"/>
      <c r="D1054" s="485" t="s">
        <v>520</v>
      </c>
      <c r="E1054" s="485"/>
      <c r="F1054" s="485"/>
      <c r="G1054" s="485"/>
      <c r="H1054" s="485"/>
      <c r="I1054" s="485"/>
      <c r="J1054" s="485"/>
      <c r="K1054" s="485"/>
      <c r="L1054" s="98">
        <f>L1052+L1051</f>
        <v>16917.576455454546</v>
      </c>
    </row>
    <row r="1055" spans="3:15" ht="13.5" thickBot="1" x14ac:dyDescent="0.3">
      <c r="C1055" s="486"/>
      <c r="D1055" s="487"/>
      <c r="E1055" s="487"/>
      <c r="F1055" s="487"/>
      <c r="G1055" s="487"/>
      <c r="H1055" s="487"/>
      <c r="I1055" s="487"/>
      <c r="J1055" s="487"/>
      <c r="K1055" s="487"/>
      <c r="L1055" s="488"/>
    </row>
    <row r="1056" spans="3:15" ht="13.5" thickBot="1" x14ac:dyDescent="0.3">
      <c r="C1056" s="489" t="s">
        <v>521</v>
      </c>
      <c r="D1056" s="490"/>
      <c r="E1056" s="490"/>
      <c r="F1056" s="490"/>
      <c r="G1056" s="490"/>
      <c r="H1056" s="490"/>
      <c r="I1056" s="490"/>
      <c r="J1056" s="491"/>
      <c r="K1056" s="145">
        <f>ROUND(L1054+L1047+L1040+L1032,0)</f>
        <v>183300</v>
      </c>
      <c r="L1056" s="146"/>
    </row>
    <row r="1058" spans="3:12" ht="13.5" thickBot="1" x14ac:dyDescent="0.3"/>
    <row r="1059" spans="3:12" x14ac:dyDescent="0.25">
      <c r="C1059" s="466" t="s">
        <v>495</v>
      </c>
      <c r="D1059" s="467"/>
      <c r="E1059" s="467"/>
      <c r="F1059" s="467"/>
      <c r="G1059" s="467"/>
      <c r="H1059" s="467"/>
      <c r="I1059" s="467"/>
      <c r="J1059" s="467"/>
      <c r="K1059" s="467"/>
      <c r="L1059" s="468"/>
    </row>
    <row r="1060" spans="3:12" ht="12.75" customHeight="1" x14ac:dyDescent="0.25">
      <c r="C1060" s="469" t="str">
        <f>+PPTO!$A$2</f>
        <v>REPOSICION E INSTALACION VALVULAS DE SECTORIZACION EN DIFERENTES SECTORES DEL MUNICIPIO DE PIEDECUESTA - SANTANDER.</v>
      </c>
      <c r="D1060" s="470"/>
      <c r="E1060" s="470"/>
      <c r="F1060" s="470"/>
      <c r="G1060" s="470"/>
      <c r="H1060" s="470"/>
      <c r="I1060" s="470"/>
      <c r="J1060" s="470"/>
      <c r="K1060" s="470"/>
      <c r="L1060" s="471"/>
    </row>
    <row r="1061" spans="3:12" x14ac:dyDescent="0.25">
      <c r="C1061" s="472" t="s">
        <v>496</v>
      </c>
      <c r="D1061" s="141">
        <f>+PPTO!$A$20</f>
        <v>4</v>
      </c>
      <c r="E1061" s="474" t="str">
        <f>+PPTO!$B$20</f>
        <v>SUMINISTRO E INSTALACION DE TUBERIAS Y ACCESORIOS.</v>
      </c>
      <c r="F1061" s="475"/>
      <c r="G1061" s="475"/>
      <c r="H1061" s="475"/>
      <c r="I1061" s="475"/>
      <c r="J1061" s="475"/>
      <c r="K1061" s="475"/>
      <c r="L1061" s="70" t="s">
        <v>52</v>
      </c>
    </row>
    <row r="1062" spans="3:12" ht="13.5" thickBot="1" x14ac:dyDescent="0.3">
      <c r="C1062" s="473"/>
      <c r="D1062" s="120">
        <f>+PPTO!A40</f>
        <v>4.2</v>
      </c>
      <c r="E1062" s="476" t="str">
        <f>+PPTO!B40</f>
        <v>Suministro e instalación tubería pvc presión rde 21 d= 10"</v>
      </c>
      <c r="F1062" s="476"/>
      <c r="G1062" s="476"/>
      <c r="H1062" s="476"/>
      <c r="I1062" s="476"/>
      <c r="J1062" s="476"/>
      <c r="K1062" s="476"/>
      <c r="L1062" s="71" t="str">
        <f>+PPTO!C40</f>
        <v>ML</v>
      </c>
    </row>
    <row r="1063" spans="3:12" ht="13.5" thickBot="1" x14ac:dyDescent="0.3">
      <c r="C1063" s="477"/>
      <c r="D1063" s="478"/>
      <c r="E1063" s="478"/>
      <c r="F1063" s="478"/>
      <c r="G1063" s="478"/>
      <c r="H1063" s="478"/>
      <c r="I1063" s="478"/>
      <c r="J1063" s="478"/>
      <c r="K1063" s="478"/>
      <c r="L1063" s="479"/>
    </row>
    <row r="1064" spans="3:12" x14ac:dyDescent="0.25">
      <c r="C1064" s="466" t="s">
        <v>497</v>
      </c>
      <c r="D1064" s="467"/>
      <c r="E1064" s="467"/>
      <c r="F1064" s="467"/>
      <c r="G1064" s="467"/>
      <c r="H1064" s="467"/>
      <c r="I1064" s="467"/>
      <c r="J1064" s="467"/>
      <c r="K1064" s="467"/>
      <c r="L1064" s="468"/>
    </row>
    <row r="1065" spans="3:12" x14ac:dyDescent="0.25">
      <c r="C1065" s="72" t="s">
        <v>66</v>
      </c>
      <c r="D1065" s="492" t="s">
        <v>498</v>
      </c>
      <c r="E1065" s="492"/>
      <c r="F1065" s="492"/>
      <c r="G1065" s="492"/>
      <c r="H1065" s="492"/>
      <c r="I1065" s="73" t="s">
        <v>499</v>
      </c>
      <c r="J1065" s="74" t="s">
        <v>500</v>
      </c>
      <c r="K1065" s="73" t="s">
        <v>501</v>
      </c>
      <c r="L1065" s="70" t="s">
        <v>502</v>
      </c>
    </row>
    <row r="1066" spans="3:12" x14ac:dyDescent="0.25">
      <c r="C1066" s="75"/>
      <c r="D1066" s="460"/>
      <c r="E1066" s="499"/>
      <c r="F1066" s="499"/>
      <c r="G1066" s="499"/>
      <c r="H1066" s="461"/>
      <c r="I1066" s="76"/>
      <c r="J1066" s="76"/>
      <c r="K1066" s="77"/>
      <c r="L1066" s="78"/>
    </row>
    <row r="1067" spans="3:12" x14ac:dyDescent="0.25">
      <c r="C1067" s="147" t="s">
        <v>12</v>
      </c>
      <c r="D1067" s="493" t="str">
        <f>+EQUIPO!$B$7</f>
        <v>Diferencial</v>
      </c>
      <c r="E1067" s="493"/>
      <c r="F1067" s="493"/>
      <c r="G1067" s="493"/>
      <c r="H1067" s="493"/>
      <c r="I1067" s="76" t="str">
        <f>+EQUIPO!$C$7</f>
        <v>día</v>
      </c>
      <c r="J1067" s="80">
        <v>10</v>
      </c>
      <c r="K1067" s="81">
        <f>+EQUIPO!$D$7</f>
        <v>50000</v>
      </c>
      <c r="L1067" s="78">
        <f>+K1067/J1067</f>
        <v>5000</v>
      </c>
    </row>
    <row r="1068" spans="3:12" x14ac:dyDescent="0.25">
      <c r="C1068" s="79"/>
      <c r="D1068" s="493" t="s">
        <v>503</v>
      </c>
      <c r="E1068" s="493"/>
      <c r="F1068" s="493"/>
      <c r="G1068" s="493"/>
      <c r="H1068" s="493"/>
      <c r="I1068" s="76" t="s">
        <v>61</v>
      </c>
      <c r="J1068" s="80">
        <v>1</v>
      </c>
      <c r="K1068" s="81">
        <f>L1091*0.1</f>
        <v>2067.7037890000001</v>
      </c>
      <c r="L1068" s="82">
        <f>K1068/J1068</f>
        <v>2067.7037890000001</v>
      </c>
    </row>
    <row r="1069" spans="3:12" ht="13.5" thickBot="1" x14ac:dyDescent="0.3">
      <c r="C1069" s="83"/>
      <c r="D1069" s="485" t="s">
        <v>504</v>
      </c>
      <c r="E1069" s="485"/>
      <c r="F1069" s="485"/>
      <c r="G1069" s="485"/>
      <c r="H1069" s="485"/>
      <c r="I1069" s="485"/>
      <c r="J1069" s="485"/>
      <c r="K1069" s="485"/>
      <c r="L1069" s="84">
        <f>SUM(L1066:L1068)</f>
        <v>7067.7037890000001</v>
      </c>
    </row>
    <row r="1070" spans="3:12" ht="13.5" thickBot="1" x14ac:dyDescent="0.3">
      <c r="C1070" s="477"/>
      <c r="D1070" s="478"/>
      <c r="E1070" s="478"/>
      <c r="F1070" s="478"/>
      <c r="G1070" s="478"/>
      <c r="H1070" s="478"/>
      <c r="I1070" s="478"/>
      <c r="J1070" s="478"/>
      <c r="K1070" s="478"/>
      <c r="L1070" s="479"/>
    </row>
    <row r="1071" spans="3:12" x14ac:dyDescent="0.25">
      <c r="C1071" s="466" t="s">
        <v>505</v>
      </c>
      <c r="D1071" s="467"/>
      <c r="E1071" s="467"/>
      <c r="F1071" s="467"/>
      <c r="G1071" s="467"/>
      <c r="H1071" s="467"/>
      <c r="I1071" s="467"/>
      <c r="J1071" s="467"/>
      <c r="K1071" s="467"/>
      <c r="L1071" s="468"/>
    </row>
    <row r="1072" spans="3:12" ht="25.5" x14ac:dyDescent="0.25">
      <c r="C1072" s="72" t="s">
        <v>66</v>
      </c>
      <c r="D1072" s="492" t="s">
        <v>498</v>
      </c>
      <c r="E1072" s="492"/>
      <c r="F1072" s="492"/>
      <c r="G1072" s="492"/>
      <c r="H1072" s="73" t="s">
        <v>499</v>
      </c>
      <c r="I1072" s="74" t="s">
        <v>506</v>
      </c>
      <c r="J1072" s="73" t="s">
        <v>501</v>
      </c>
      <c r="K1072" s="85" t="s">
        <v>507</v>
      </c>
      <c r="L1072" s="70" t="s">
        <v>502</v>
      </c>
    </row>
    <row r="1073" spans="3:15" x14ac:dyDescent="0.25">
      <c r="C1073" s="113" t="s">
        <v>731</v>
      </c>
      <c r="D1073" s="498" t="str">
        <f>+MATERIALES!$B$302</f>
        <v>Lubricante tarro</v>
      </c>
      <c r="E1073" s="496"/>
      <c r="F1073" s="496"/>
      <c r="G1073" s="497"/>
      <c r="H1073" s="73" t="str">
        <f>+MATERIALES!$C$302</f>
        <v>Kg</v>
      </c>
      <c r="I1073" s="76">
        <v>0.01</v>
      </c>
      <c r="J1073" s="86">
        <f>+MATERIALES!$D$302</f>
        <v>43900</v>
      </c>
      <c r="K1073" s="87">
        <v>0.01</v>
      </c>
      <c r="L1073" s="88">
        <f>I1073*J1073*(1+K1073)</f>
        <v>443.39</v>
      </c>
    </row>
    <row r="1074" spans="3:15" x14ac:dyDescent="0.25">
      <c r="C1074" s="90" t="s">
        <v>732</v>
      </c>
      <c r="D1074" s="498" t="str">
        <f>+MATERIALES!$B$303</f>
        <v>Limpiador PVC 760 grms</v>
      </c>
      <c r="E1074" s="496"/>
      <c r="F1074" s="496"/>
      <c r="G1074" s="497"/>
      <c r="H1074" s="73" t="str">
        <f>+MATERIALES!$C$303</f>
        <v>und</v>
      </c>
      <c r="I1074" s="76">
        <v>0.05</v>
      </c>
      <c r="J1074" s="86">
        <f>+MATERIALES!$D$303</f>
        <v>40900</v>
      </c>
      <c r="K1074" s="87">
        <v>0.01</v>
      </c>
      <c r="L1074" s="88">
        <f>I1074*J1074*(1+K1074)</f>
        <v>2065.4499999999998</v>
      </c>
    </row>
    <row r="1075" spans="3:15" x14ac:dyDescent="0.25">
      <c r="C1075" s="90" t="s">
        <v>733</v>
      </c>
      <c r="D1075" s="498" t="str">
        <f>+MATERIALES!$B$304</f>
        <v>Soldadura PVC 1/4 galon</v>
      </c>
      <c r="E1075" s="496"/>
      <c r="F1075" s="496"/>
      <c r="G1075" s="497"/>
      <c r="H1075" s="73" t="str">
        <f>+MATERIALES!$C$304</f>
        <v>und</v>
      </c>
      <c r="I1075" s="76">
        <v>0.05</v>
      </c>
      <c r="J1075" s="86">
        <f>+MATERIALES!$D$304</f>
        <v>84900</v>
      </c>
      <c r="K1075" s="87">
        <v>0.01</v>
      </c>
      <c r="L1075" s="88">
        <f>I1075*J1075*(1+K1075)</f>
        <v>4287.45</v>
      </c>
    </row>
    <row r="1076" spans="3:15" x14ac:dyDescent="0.25">
      <c r="C1076" s="113" t="s">
        <v>748</v>
      </c>
      <c r="D1076" s="498" t="str">
        <f>+MATERIALES!B310</f>
        <v>tubería pvc presión rde 21 d= 10"</v>
      </c>
      <c r="E1076" s="496"/>
      <c r="F1076" s="496"/>
      <c r="G1076" s="497"/>
      <c r="H1076" s="73" t="str">
        <f>+MATERIALES!C310</f>
        <v>ML.</v>
      </c>
      <c r="I1076" s="91">
        <v>1</v>
      </c>
      <c r="J1076" s="86">
        <f>+MATERIALES!D310</f>
        <v>243659</v>
      </c>
      <c r="K1076" s="93">
        <v>0</v>
      </c>
      <c r="L1076" s="88">
        <f>I1076*J1076*(1+K1076)</f>
        <v>243659</v>
      </c>
    </row>
    <row r="1077" spans="3:15" ht="13.5" thickBot="1" x14ac:dyDescent="0.3">
      <c r="C1077" s="94"/>
      <c r="D1077" s="485" t="s">
        <v>508</v>
      </c>
      <c r="E1077" s="485"/>
      <c r="F1077" s="485"/>
      <c r="G1077" s="485"/>
      <c r="H1077" s="485"/>
      <c r="I1077" s="485"/>
      <c r="J1077" s="485"/>
      <c r="K1077" s="485"/>
      <c r="L1077" s="84">
        <f>SUM(L1073:L1076)</f>
        <v>250455.29</v>
      </c>
    </row>
    <row r="1078" spans="3:15" ht="13.5" thickBot="1" x14ac:dyDescent="0.3">
      <c r="C1078" s="486"/>
      <c r="D1078" s="487"/>
      <c r="E1078" s="487"/>
      <c r="F1078" s="487"/>
      <c r="G1078" s="487"/>
      <c r="H1078" s="487"/>
      <c r="I1078" s="487"/>
      <c r="J1078" s="487"/>
      <c r="K1078" s="487"/>
      <c r="L1078" s="488"/>
    </row>
    <row r="1079" spans="3:15" x14ac:dyDescent="0.25">
      <c r="C1079" s="466" t="s">
        <v>509</v>
      </c>
      <c r="D1079" s="467"/>
      <c r="E1079" s="467"/>
      <c r="F1079" s="467"/>
      <c r="G1079" s="467"/>
      <c r="H1079" s="467"/>
      <c r="I1079" s="467"/>
      <c r="J1079" s="467"/>
      <c r="K1079" s="467"/>
      <c r="L1079" s="468"/>
    </row>
    <row r="1080" spans="3:15" x14ac:dyDescent="0.25">
      <c r="C1080" s="72" t="s">
        <v>66</v>
      </c>
      <c r="D1080" s="492" t="s">
        <v>498</v>
      </c>
      <c r="E1080" s="492"/>
      <c r="F1080" s="492"/>
      <c r="G1080" s="492"/>
      <c r="H1080" s="73" t="s">
        <v>506</v>
      </c>
      <c r="I1080" s="73" t="s">
        <v>499</v>
      </c>
      <c r="J1080" s="74" t="s">
        <v>510</v>
      </c>
      <c r="K1080" s="85" t="s">
        <v>511</v>
      </c>
      <c r="L1080" s="70" t="s">
        <v>502</v>
      </c>
    </row>
    <row r="1081" spans="3:15" x14ac:dyDescent="0.25">
      <c r="C1081" s="90"/>
      <c r="D1081" s="494"/>
      <c r="E1081" s="494"/>
      <c r="F1081" s="494"/>
      <c r="G1081" s="494"/>
      <c r="H1081" s="76"/>
      <c r="I1081" s="97"/>
      <c r="J1081" s="97"/>
      <c r="K1081" s="95"/>
      <c r="L1081" s="96"/>
    </row>
    <row r="1082" spans="3:15" x14ac:dyDescent="0.25">
      <c r="C1082" s="90"/>
      <c r="D1082" s="495"/>
      <c r="E1082" s="495"/>
      <c r="F1082" s="495"/>
      <c r="G1082" s="495"/>
      <c r="H1082" s="76"/>
      <c r="I1082" s="97"/>
      <c r="J1082" s="97"/>
      <c r="K1082" s="95"/>
      <c r="L1082" s="96"/>
    </row>
    <row r="1083" spans="3:15" x14ac:dyDescent="0.25">
      <c r="C1083" s="90"/>
      <c r="D1083" s="495"/>
      <c r="E1083" s="495"/>
      <c r="F1083" s="495"/>
      <c r="G1083" s="495"/>
      <c r="H1083" s="76"/>
      <c r="I1083" s="97"/>
      <c r="J1083" s="97"/>
      <c r="K1083" s="95"/>
      <c r="L1083" s="96"/>
    </row>
    <row r="1084" spans="3:15" ht="13.5" thickBot="1" x14ac:dyDescent="0.3">
      <c r="C1084" s="83"/>
      <c r="D1084" s="485" t="s">
        <v>512</v>
      </c>
      <c r="E1084" s="485"/>
      <c r="F1084" s="485"/>
      <c r="G1084" s="485"/>
      <c r="H1084" s="485"/>
      <c r="I1084" s="485"/>
      <c r="J1084" s="485"/>
      <c r="K1084" s="485"/>
      <c r="L1084" s="98">
        <f>L1081</f>
        <v>0</v>
      </c>
    </row>
    <row r="1085" spans="3:15" ht="13.5" thickBot="1" x14ac:dyDescent="0.3">
      <c r="C1085" s="477"/>
      <c r="D1085" s="478"/>
      <c r="E1085" s="478"/>
      <c r="F1085" s="478"/>
      <c r="G1085" s="478"/>
      <c r="H1085" s="478"/>
      <c r="I1085" s="478"/>
      <c r="J1085" s="478"/>
      <c r="K1085" s="478"/>
      <c r="L1085" s="479"/>
      <c r="O1085" s="119">
        <f>278200-(L1091+L1069+L1073+L1074+L1075)</f>
        <v>243658.96832099999</v>
      </c>
    </row>
    <row r="1086" spans="3:15" x14ac:dyDescent="0.25">
      <c r="C1086" s="466" t="s">
        <v>513</v>
      </c>
      <c r="D1086" s="467"/>
      <c r="E1086" s="467"/>
      <c r="F1086" s="467"/>
      <c r="G1086" s="467"/>
      <c r="H1086" s="467"/>
      <c r="I1086" s="467"/>
      <c r="J1086" s="467"/>
      <c r="K1086" s="467"/>
      <c r="L1086" s="468"/>
    </row>
    <row r="1087" spans="3:15" x14ac:dyDescent="0.25">
      <c r="C1087" s="72" t="s">
        <v>66</v>
      </c>
      <c r="D1087" s="492" t="s">
        <v>498</v>
      </c>
      <c r="E1087" s="492"/>
      <c r="F1087" s="85" t="s">
        <v>499</v>
      </c>
      <c r="G1087" s="85" t="s">
        <v>506</v>
      </c>
      <c r="H1087" s="73" t="s">
        <v>514</v>
      </c>
      <c r="I1087" s="99" t="s">
        <v>515</v>
      </c>
      <c r="J1087" s="85" t="s">
        <v>516</v>
      </c>
      <c r="K1087" s="99" t="s">
        <v>517</v>
      </c>
      <c r="L1087" s="100" t="s">
        <v>502</v>
      </c>
    </row>
    <row r="1088" spans="3:15" x14ac:dyDescent="0.25">
      <c r="C1088" s="79" t="s">
        <v>519</v>
      </c>
      <c r="D1088" s="460" t="str">
        <f>'MANO DE OBRA'!$B$3</f>
        <v>Ayudante</v>
      </c>
      <c r="E1088" s="461"/>
      <c r="F1088" s="97" t="str">
        <f>'MANO DE OBRA'!$C$2</f>
        <v>DIA</v>
      </c>
      <c r="G1088" s="76">
        <v>2</v>
      </c>
      <c r="H1088" s="101">
        <f>'MANO DE OBRA'!$D$3</f>
        <v>28981.77</v>
      </c>
      <c r="I1088" s="102">
        <v>0.75649999999999995</v>
      </c>
      <c r="J1088" s="103">
        <f>(H1088+(H1088*I1088))</f>
        <v>50906.479005000001</v>
      </c>
      <c r="K1088" s="76">
        <v>9</v>
      </c>
      <c r="L1088" s="96">
        <f>G1088*(J1088/K1088)</f>
        <v>11312.55089</v>
      </c>
    </row>
    <row r="1089" spans="3:12" x14ac:dyDescent="0.25">
      <c r="C1089" s="112" t="s">
        <v>526</v>
      </c>
      <c r="D1089" s="460" t="str">
        <f>'MANO DE OBRA'!$B$2</f>
        <v>Oficial</v>
      </c>
      <c r="E1089" s="461"/>
      <c r="F1089" s="97" t="str">
        <f>'MANO DE OBRA'!$C$2</f>
        <v>DIA</v>
      </c>
      <c r="G1089" s="76">
        <v>1</v>
      </c>
      <c r="H1089" s="101">
        <f>'MANO DE OBRA'!$D$2</f>
        <v>47982</v>
      </c>
      <c r="I1089" s="102">
        <v>0.75649999999999995</v>
      </c>
      <c r="J1089" s="103">
        <f>(H1089+(H1089*I1089))</f>
        <v>84280.383000000002</v>
      </c>
      <c r="K1089" s="76">
        <f>+K1088</f>
        <v>9</v>
      </c>
      <c r="L1089" s="96">
        <f>G1089*(J1089/K1089)</f>
        <v>9364.487000000001</v>
      </c>
    </row>
    <row r="1090" spans="3:12" x14ac:dyDescent="0.25">
      <c r="C1090" s="90"/>
      <c r="D1090" s="493"/>
      <c r="E1090" s="493"/>
      <c r="F1090" s="97"/>
      <c r="G1090" s="76"/>
      <c r="H1090" s="101"/>
      <c r="I1090" s="102"/>
      <c r="J1090" s="103"/>
      <c r="K1090" s="76"/>
      <c r="L1090" s="96"/>
    </row>
    <row r="1091" spans="3:12" ht="13.5" thickBot="1" x14ac:dyDescent="0.3">
      <c r="C1091" s="83"/>
      <c r="D1091" s="485" t="s">
        <v>520</v>
      </c>
      <c r="E1091" s="485"/>
      <c r="F1091" s="485"/>
      <c r="G1091" s="485"/>
      <c r="H1091" s="485"/>
      <c r="I1091" s="485"/>
      <c r="J1091" s="485"/>
      <c r="K1091" s="485"/>
      <c r="L1091" s="98">
        <f>L1089+L1088</f>
        <v>20677.03789</v>
      </c>
    </row>
    <row r="1092" spans="3:12" ht="13.5" thickBot="1" x14ac:dyDescent="0.3">
      <c r="C1092" s="486"/>
      <c r="D1092" s="487"/>
      <c r="E1092" s="487"/>
      <c r="F1092" s="487"/>
      <c r="G1092" s="487"/>
      <c r="H1092" s="487"/>
      <c r="I1092" s="487"/>
      <c r="J1092" s="487"/>
      <c r="K1092" s="487"/>
      <c r="L1092" s="488"/>
    </row>
    <row r="1093" spans="3:12" ht="13.5" thickBot="1" x14ac:dyDescent="0.3">
      <c r="C1093" s="489" t="s">
        <v>521</v>
      </c>
      <c r="D1093" s="490"/>
      <c r="E1093" s="490"/>
      <c r="F1093" s="490"/>
      <c r="G1093" s="490"/>
      <c r="H1093" s="490"/>
      <c r="I1093" s="490"/>
      <c r="J1093" s="491"/>
      <c r="K1093" s="145">
        <f>ROUND(L1091+L1084+L1077+L1069,0)</f>
        <v>278200</v>
      </c>
      <c r="L1093" s="146"/>
    </row>
    <row r="1095" spans="3:12" ht="13.5" thickBot="1" x14ac:dyDescent="0.3"/>
    <row r="1096" spans="3:12" x14ac:dyDescent="0.25">
      <c r="C1096" s="466" t="s">
        <v>495</v>
      </c>
      <c r="D1096" s="467"/>
      <c r="E1096" s="467"/>
      <c r="F1096" s="467"/>
      <c r="G1096" s="467"/>
      <c r="H1096" s="467"/>
      <c r="I1096" s="467"/>
      <c r="J1096" s="467"/>
      <c r="K1096" s="467"/>
      <c r="L1096" s="468"/>
    </row>
    <row r="1097" spans="3:12" ht="12.75" customHeight="1" x14ac:dyDescent="0.25">
      <c r="C1097" s="469" t="str">
        <f>+PPTO!$A$2</f>
        <v>REPOSICION E INSTALACION VALVULAS DE SECTORIZACION EN DIFERENTES SECTORES DEL MUNICIPIO DE PIEDECUESTA - SANTANDER.</v>
      </c>
      <c r="D1097" s="470"/>
      <c r="E1097" s="470"/>
      <c r="F1097" s="470"/>
      <c r="G1097" s="470"/>
      <c r="H1097" s="470"/>
      <c r="I1097" s="470"/>
      <c r="J1097" s="470"/>
      <c r="K1097" s="470"/>
      <c r="L1097" s="471"/>
    </row>
    <row r="1098" spans="3:12" x14ac:dyDescent="0.25">
      <c r="C1098" s="472" t="s">
        <v>496</v>
      </c>
      <c r="D1098" s="141">
        <f>+PPTO!$A$20</f>
        <v>4</v>
      </c>
      <c r="E1098" s="474" t="str">
        <f>+PPTO!$B$20</f>
        <v>SUMINISTRO E INSTALACION DE TUBERIAS Y ACCESORIOS.</v>
      </c>
      <c r="F1098" s="475"/>
      <c r="G1098" s="475"/>
      <c r="H1098" s="475"/>
      <c r="I1098" s="475"/>
      <c r="J1098" s="475"/>
      <c r="K1098" s="475"/>
      <c r="L1098" s="70" t="s">
        <v>52</v>
      </c>
    </row>
    <row r="1099" spans="3:12" ht="13.5" thickBot="1" x14ac:dyDescent="0.3">
      <c r="C1099" s="473"/>
      <c r="D1099" s="120">
        <f>+PPTO!A41</f>
        <v>4.21</v>
      </c>
      <c r="E1099" s="476" t="str">
        <f>+PPTO!B41</f>
        <v>Suministro e instalación tubería pvc presión rde 21 d= 12"</v>
      </c>
      <c r="F1099" s="476"/>
      <c r="G1099" s="476"/>
      <c r="H1099" s="476"/>
      <c r="I1099" s="476"/>
      <c r="J1099" s="476"/>
      <c r="K1099" s="476"/>
      <c r="L1099" s="71" t="str">
        <f>+PPTO!C41</f>
        <v>ML</v>
      </c>
    </row>
    <row r="1100" spans="3:12" ht="13.5" thickBot="1" x14ac:dyDescent="0.3">
      <c r="C1100" s="477"/>
      <c r="D1100" s="478"/>
      <c r="E1100" s="478"/>
      <c r="F1100" s="478"/>
      <c r="G1100" s="478"/>
      <c r="H1100" s="478"/>
      <c r="I1100" s="478"/>
      <c r="J1100" s="478"/>
      <c r="K1100" s="478"/>
      <c r="L1100" s="479"/>
    </row>
    <row r="1101" spans="3:12" x14ac:dyDescent="0.25">
      <c r="C1101" s="466" t="s">
        <v>497</v>
      </c>
      <c r="D1101" s="467"/>
      <c r="E1101" s="467"/>
      <c r="F1101" s="467"/>
      <c r="G1101" s="467"/>
      <c r="H1101" s="467"/>
      <c r="I1101" s="467"/>
      <c r="J1101" s="467"/>
      <c r="K1101" s="467"/>
      <c r="L1101" s="468"/>
    </row>
    <row r="1102" spans="3:12" x14ac:dyDescent="0.25">
      <c r="C1102" s="72" t="s">
        <v>66</v>
      </c>
      <c r="D1102" s="492" t="s">
        <v>498</v>
      </c>
      <c r="E1102" s="492"/>
      <c r="F1102" s="492"/>
      <c r="G1102" s="492"/>
      <c r="H1102" s="492"/>
      <c r="I1102" s="73" t="s">
        <v>499</v>
      </c>
      <c r="J1102" s="74" t="s">
        <v>500</v>
      </c>
      <c r="K1102" s="73" t="s">
        <v>501</v>
      </c>
      <c r="L1102" s="70" t="s">
        <v>502</v>
      </c>
    </row>
    <row r="1103" spans="3:12" x14ac:dyDescent="0.25">
      <c r="C1103" s="75"/>
      <c r="D1103" s="460"/>
      <c r="E1103" s="499"/>
      <c r="F1103" s="499"/>
      <c r="G1103" s="499"/>
      <c r="H1103" s="461"/>
      <c r="I1103" s="76"/>
      <c r="J1103" s="76"/>
      <c r="K1103" s="77"/>
      <c r="L1103" s="78"/>
    </row>
    <row r="1104" spans="3:12" x14ac:dyDescent="0.25">
      <c r="C1104" s="147" t="s">
        <v>12</v>
      </c>
      <c r="D1104" s="493" t="str">
        <f>+EQUIPO!$B$7</f>
        <v>Diferencial</v>
      </c>
      <c r="E1104" s="493"/>
      <c r="F1104" s="493"/>
      <c r="G1104" s="493"/>
      <c r="H1104" s="493"/>
      <c r="I1104" s="76" t="str">
        <f>+EQUIPO!$C$7</f>
        <v>día</v>
      </c>
      <c r="J1104" s="80">
        <v>10</v>
      </c>
      <c r="K1104" s="81">
        <f>+EQUIPO!$D$7</f>
        <v>50000</v>
      </c>
      <c r="L1104" s="78">
        <f>+K1104/J1104</f>
        <v>5000</v>
      </c>
    </row>
    <row r="1105" spans="3:12" x14ac:dyDescent="0.25">
      <c r="C1105" s="79"/>
      <c r="D1105" s="493" t="s">
        <v>503</v>
      </c>
      <c r="E1105" s="493"/>
      <c r="F1105" s="493"/>
      <c r="G1105" s="493"/>
      <c r="H1105" s="493"/>
      <c r="I1105" s="76" t="s">
        <v>61</v>
      </c>
      <c r="J1105" s="80">
        <v>1</v>
      </c>
      <c r="K1105" s="81">
        <f>L1128*0.1</f>
        <v>2326.166762625</v>
      </c>
      <c r="L1105" s="82">
        <f>K1105/J1105</f>
        <v>2326.166762625</v>
      </c>
    </row>
    <row r="1106" spans="3:12" ht="13.5" thickBot="1" x14ac:dyDescent="0.3">
      <c r="C1106" s="83"/>
      <c r="D1106" s="485" t="s">
        <v>504</v>
      </c>
      <c r="E1106" s="485"/>
      <c r="F1106" s="485"/>
      <c r="G1106" s="485"/>
      <c r="H1106" s="485"/>
      <c r="I1106" s="485"/>
      <c r="J1106" s="485"/>
      <c r="K1106" s="485"/>
      <c r="L1106" s="84">
        <f>SUM(L1103:L1105)</f>
        <v>7326.166762625</v>
      </c>
    </row>
    <row r="1107" spans="3:12" ht="13.5" thickBot="1" x14ac:dyDescent="0.3">
      <c r="C1107" s="477"/>
      <c r="D1107" s="478"/>
      <c r="E1107" s="478"/>
      <c r="F1107" s="478"/>
      <c r="G1107" s="478"/>
      <c r="H1107" s="478"/>
      <c r="I1107" s="478"/>
      <c r="J1107" s="478"/>
      <c r="K1107" s="478"/>
      <c r="L1107" s="479"/>
    </row>
    <row r="1108" spans="3:12" x14ac:dyDescent="0.25">
      <c r="C1108" s="466" t="s">
        <v>505</v>
      </c>
      <c r="D1108" s="467"/>
      <c r="E1108" s="467"/>
      <c r="F1108" s="467"/>
      <c r="G1108" s="467"/>
      <c r="H1108" s="467"/>
      <c r="I1108" s="467"/>
      <c r="J1108" s="467"/>
      <c r="K1108" s="467"/>
      <c r="L1108" s="468"/>
    </row>
    <row r="1109" spans="3:12" ht="25.5" x14ac:dyDescent="0.25">
      <c r="C1109" s="72" t="s">
        <v>66</v>
      </c>
      <c r="D1109" s="492" t="s">
        <v>498</v>
      </c>
      <c r="E1109" s="492"/>
      <c r="F1109" s="492"/>
      <c r="G1109" s="492"/>
      <c r="H1109" s="73" t="s">
        <v>499</v>
      </c>
      <c r="I1109" s="74" t="s">
        <v>506</v>
      </c>
      <c r="J1109" s="73" t="s">
        <v>501</v>
      </c>
      <c r="K1109" s="85" t="s">
        <v>507</v>
      </c>
      <c r="L1109" s="70" t="s">
        <v>502</v>
      </c>
    </row>
    <row r="1110" spans="3:12" x14ac:dyDescent="0.25">
      <c r="C1110" s="113" t="s">
        <v>731</v>
      </c>
      <c r="D1110" s="498" t="str">
        <f>+MATERIALES!$B$302</f>
        <v>Lubricante tarro</v>
      </c>
      <c r="E1110" s="496"/>
      <c r="F1110" s="496"/>
      <c r="G1110" s="497"/>
      <c r="H1110" s="73" t="str">
        <f>+MATERIALES!$C$302</f>
        <v>Kg</v>
      </c>
      <c r="I1110" s="76">
        <v>0.01</v>
      </c>
      <c r="J1110" s="86">
        <f>+MATERIALES!$D$302</f>
        <v>43900</v>
      </c>
      <c r="K1110" s="87">
        <v>0.01</v>
      </c>
      <c r="L1110" s="88">
        <f>I1110*J1110*(1+K1110)</f>
        <v>443.39</v>
      </c>
    </row>
    <row r="1111" spans="3:12" x14ac:dyDescent="0.25">
      <c r="C1111" s="90" t="s">
        <v>732</v>
      </c>
      <c r="D1111" s="498" t="str">
        <f>+MATERIALES!$B$303</f>
        <v>Limpiador PVC 760 grms</v>
      </c>
      <c r="E1111" s="496"/>
      <c r="F1111" s="496"/>
      <c r="G1111" s="497"/>
      <c r="H1111" s="73" t="str">
        <f>+MATERIALES!$C$303</f>
        <v>und</v>
      </c>
      <c r="I1111" s="76">
        <v>0.05</v>
      </c>
      <c r="J1111" s="86">
        <f>+MATERIALES!$D$303</f>
        <v>40900</v>
      </c>
      <c r="K1111" s="87">
        <v>0.01</v>
      </c>
      <c r="L1111" s="88">
        <f>I1111*J1111*(1+K1111)</f>
        <v>2065.4499999999998</v>
      </c>
    </row>
    <row r="1112" spans="3:12" x14ac:dyDescent="0.25">
      <c r="C1112" s="90" t="s">
        <v>733</v>
      </c>
      <c r="D1112" s="498" t="str">
        <f>+MATERIALES!$B$304</f>
        <v>Soldadura PVC 1/4 galon</v>
      </c>
      <c r="E1112" s="496"/>
      <c r="F1112" s="496"/>
      <c r="G1112" s="497"/>
      <c r="H1112" s="73" t="str">
        <f>+MATERIALES!$C$304</f>
        <v>und</v>
      </c>
      <c r="I1112" s="76">
        <v>0.05</v>
      </c>
      <c r="J1112" s="86">
        <f>+MATERIALES!$D$304</f>
        <v>84900</v>
      </c>
      <c r="K1112" s="87">
        <v>0.01</v>
      </c>
      <c r="L1112" s="88">
        <f>I1112*J1112*(1+K1112)</f>
        <v>4287.45</v>
      </c>
    </row>
    <row r="1113" spans="3:12" x14ac:dyDescent="0.25">
      <c r="C1113" s="113" t="s">
        <v>749</v>
      </c>
      <c r="D1113" s="498" t="str">
        <f>+MATERIALES!B311</f>
        <v>tubería pvc presión rde 21 d= 12"</v>
      </c>
      <c r="E1113" s="496"/>
      <c r="F1113" s="496"/>
      <c r="G1113" s="497"/>
      <c r="H1113" s="73" t="str">
        <f>+MATERIALES!C311</f>
        <v>ML.</v>
      </c>
      <c r="I1113" s="91">
        <v>1</v>
      </c>
      <c r="J1113" s="86">
        <f>+MATERIALES!D311</f>
        <v>344416</v>
      </c>
      <c r="K1113" s="93">
        <v>0</v>
      </c>
      <c r="L1113" s="88">
        <f>I1113*J1113*(1+K1113)</f>
        <v>344416</v>
      </c>
    </row>
    <row r="1114" spans="3:12" ht="13.5" thickBot="1" x14ac:dyDescent="0.3">
      <c r="C1114" s="94"/>
      <c r="D1114" s="485" t="s">
        <v>508</v>
      </c>
      <c r="E1114" s="485"/>
      <c r="F1114" s="485"/>
      <c r="G1114" s="485"/>
      <c r="H1114" s="485"/>
      <c r="I1114" s="485"/>
      <c r="J1114" s="485"/>
      <c r="K1114" s="485"/>
      <c r="L1114" s="84">
        <f>SUM(L1110:L1113)</f>
        <v>351212.29</v>
      </c>
    </row>
    <row r="1115" spans="3:12" ht="13.5" thickBot="1" x14ac:dyDescent="0.3">
      <c r="C1115" s="486"/>
      <c r="D1115" s="487"/>
      <c r="E1115" s="487"/>
      <c r="F1115" s="487"/>
      <c r="G1115" s="487"/>
      <c r="H1115" s="487"/>
      <c r="I1115" s="487"/>
      <c r="J1115" s="487"/>
      <c r="K1115" s="487"/>
      <c r="L1115" s="488"/>
    </row>
    <row r="1116" spans="3:12" x14ac:dyDescent="0.25">
      <c r="C1116" s="466" t="s">
        <v>509</v>
      </c>
      <c r="D1116" s="467"/>
      <c r="E1116" s="467"/>
      <c r="F1116" s="467"/>
      <c r="G1116" s="467"/>
      <c r="H1116" s="467"/>
      <c r="I1116" s="467"/>
      <c r="J1116" s="467"/>
      <c r="K1116" s="467"/>
      <c r="L1116" s="468"/>
    </row>
    <row r="1117" spans="3:12" x14ac:dyDescent="0.25">
      <c r="C1117" s="72" t="s">
        <v>66</v>
      </c>
      <c r="D1117" s="492" t="s">
        <v>498</v>
      </c>
      <c r="E1117" s="492"/>
      <c r="F1117" s="492"/>
      <c r="G1117" s="492"/>
      <c r="H1117" s="73" t="s">
        <v>506</v>
      </c>
      <c r="I1117" s="73" t="s">
        <v>499</v>
      </c>
      <c r="J1117" s="74" t="s">
        <v>510</v>
      </c>
      <c r="K1117" s="85" t="s">
        <v>511</v>
      </c>
      <c r="L1117" s="70" t="s">
        <v>502</v>
      </c>
    </row>
    <row r="1118" spans="3:12" x14ac:dyDescent="0.25">
      <c r="C1118" s="90"/>
      <c r="D1118" s="494"/>
      <c r="E1118" s="494"/>
      <c r="F1118" s="494"/>
      <c r="G1118" s="494"/>
      <c r="H1118" s="76"/>
      <c r="I1118" s="97"/>
      <c r="J1118" s="97"/>
      <c r="K1118" s="95"/>
      <c r="L1118" s="96"/>
    </row>
    <row r="1119" spans="3:12" x14ac:dyDescent="0.25">
      <c r="C1119" s="90"/>
      <c r="D1119" s="495"/>
      <c r="E1119" s="495"/>
      <c r="F1119" s="495"/>
      <c r="G1119" s="495"/>
      <c r="H1119" s="76"/>
      <c r="I1119" s="97"/>
      <c r="J1119" s="97"/>
      <c r="K1119" s="95"/>
      <c r="L1119" s="96"/>
    </row>
    <row r="1120" spans="3:12" x14ac:dyDescent="0.25">
      <c r="C1120" s="90"/>
      <c r="D1120" s="495"/>
      <c r="E1120" s="495"/>
      <c r="F1120" s="495"/>
      <c r="G1120" s="495"/>
      <c r="H1120" s="76"/>
      <c r="I1120" s="97"/>
      <c r="J1120" s="97"/>
      <c r="K1120" s="95"/>
      <c r="L1120" s="96"/>
    </row>
    <row r="1121" spans="3:15" ht="13.5" thickBot="1" x14ac:dyDescent="0.3">
      <c r="C1121" s="83"/>
      <c r="D1121" s="485" t="s">
        <v>512</v>
      </c>
      <c r="E1121" s="485"/>
      <c r="F1121" s="485"/>
      <c r="G1121" s="485"/>
      <c r="H1121" s="485"/>
      <c r="I1121" s="485"/>
      <c r="J1121" s="485"/>
      <c r="K1121" s="485"/>
      <c r="L1121" s="98">
        <f>L1118</f>
        <v>0</v>
      </c>
    </row>
    <row r="1122" spans="3:15" ht="13.5" thickBot="1" x14ac:dyDescent="0.3">
      <c r="C1122" s="477"/>
      <c r="D1122" s="478"/>
      <c r="E1122" s="478"/>
      <c r="F1122" s="478"/>
      <c r="G1122" s="478"/>
      <c r="H1122" s="478"/>
      <c r="I1122" s="478"/>
      <c r="J1122" s="478"/>
      <c r="K1122" s="478"/>
      <c r="L1122" s="479"/>
      <c r="O1122" s="119">
        <f>381800-(L1128+L1106+L1110+L1111+L1112)</f>
        <v>344415.87561112503</v>
      </c>
    </row>
    <row r="1123" spans="3:15" x14ac:dyDescent="0.25">
      <c r="C1123" s="466" t="s">
        <v>513</v>
      </c>
      <c r="D1123" s="467"/>
      <c r="E1123" s="467"/>
      <c r="F1123" s="467"/>
      <c r="G1123" s="467"/>
      <c r="H1123" s="467"/>
      <c r="I1123" s="467"/>
      <c r="J1123" s="467"/>
      <c r="K1123" s="467"/>
      <c r="L1123" s="468"/>
    </row>
    <row r="1124" spans="3:15" x14ac:dyDescent="0.25">
      <c r="C1124" s="72" t="s">
        <v>66</v>
      </c>
      <c r="D1124" s="492" t="s">
        <v>498</v>
      </c>
      <c r="E1124" s="492"/>
      <c r="F1124" s="85" t="s">
        <v>499</v>
      </c>
      <c r="G1124" s="85" t="s">
        <v>506</v>
      </c>
      <c r="H1124" s="73" t="s">
        <v>514</v>
      </c>
      <c r="I1124" s="99" t="s">
        <v>515</v>
      </c>
      <c r="J1124" s="85" t="s">
        <v>516</v>
      </c>
      <c r="K1124" s="99" t="s">
        <v>517</v>
      </c>
      <c r="L1124" s="100" t="s">
        <v>502</v>
      </c>
    </row>
    <row r="1125" spans="3:15" x14ac:dyDescent="0.25">
      <c r="C1125" s="79" t="s">
        <v>519</v>
      </c>
      <c r="D1125" s="460" t="str">
        <f>'MANO DE OBRA'!$B$3</f>
        <v>Ayudante</v>
      </c>
      <c r="E1125" s="461"/>
      <c r="F1125" s="97" t="str">
        <f>'MANO DE OBRA'!$C$2</f>
        <v>DIA</v>
      </c>
      <c r="G1125" s="76">
        <v>2</v>
      </c>
      <c r="H1125" s="101">
        <f>'MANO DE OBRA'!$D$3</f>
        <v>28981.77</v>
      </c>
      <c r="I1125" s="102">
        <v>0.75649999999999995</v>
      </c>
      <c r="J1125" s="103">
        <f>(H1125+(H1125*I1125))</f>
        <v>50906.479005000001</v>
      </c>
      <c r="K1125" s="76">
        <v>8</v>
      </c>
      <c r="L1125" s="96">
        <f>G1125*(J1125/K1125)</f>
        <v>12726.61975125</v>
      </c>
    </row>
    <row r="1126" spans="3:15" x14ac:dyDescent="0.25">
      <c r="C1126" s="112" t="s">
        <v>526</v>
      </c>
      <c r="D1126" s="460" t="str">
        <f>'MANO DE OBRA'!$B$2</f>
        <v>Oficial</v>
      </c>
      <c r="E1126" s="461"/>
      <c r="F1126" s="97" t="str">
        <f>'MANO DE OBRA'!$C$2</f>
        <v>DIA</v>
      </c>
      <c r="G1126" s="76">
        <v>1</v>
      </c>
      <c r="H1126" s="101">
        <f>'MANO DE OBRA'!$D$2</f>
        <v>47982</v>
      </c>
      <c r="I1126" s="102">
        <v>0.75649999999999995</v>
      </c>
      <c r="J1126" s="103">
        <f>(H1126+(H1126*I1126))</f>
        <v>84280.383000000002</v>
      </c>
      <c r="K1126" s="76">
        <f>+K1125</f>
        <v>8</v>
      </c>
      <c r="L1126" s="96">
        <f>G1126*(J1126/K1126)</f>
        <v>10535.047875</v>
      </c>
    </row>
    <row r="1127" spans="3:15" x14ac:dyDescent="0.25">
      <c r="C1127" s="90"/>
      <c r="D1127" s="493"/>
      <c r="E1127" s="493"/>
      <c r="F1127" s="97"/>
      <c r="G1127" s="76"/>
      <c r="H1127" s="101"/>
      <c r="I1127" s="102"/>
      <c r="J1127" s="103"/>
      <c r="K1127" s="76"/>
      <c r="L1127" s="96"/>
    </row>
    <row r="1128" spans="3:15" ht="13.5" thickBot="1" x14ac:dyDescent="0.3">
      <c r="C1128" s="83"/>
      <c r="D1128" s="485" t="s">
        <v>520</v>
      </c>
      <c r="E1128" s="485"/>
      <c r="F1128" s="485"/>
      <c r="G1128" s="485"/>
      <c r="H1128" s="485"/>
      <c r="I1128" s="485"/>
      <c r="J1128" s="485"/>
      <c r="K1128" s="485"/>
      <c r="L1128" s="98">
        <f>L1126+L1125</f>
        <v>23261.66762625</v>
      </c>
    </row>
    <row r="1129" spans="3:15" ht="13.5" thickBot="1" x14ac:dyDescent="0.3">
      <c r="C1129" s="486"/>
      <c r="D1129" s="487"/>
      <c r="E1129" s="487"/>
      <c r="F1129" s="487"/>
      <c r="G1129" s="487"/>
      <c r="H1129" s="487"/>
      <c r="I1129" s="487"/>
      <c r="J1129" s="487"/>
      <c r="K1129" s="487"/>
      <c r="L1129" s="488"/>
    </row>
    <row r="1130" spans="3:15" ht="13.5" thickBot="1" x14ac:dyDescent="0.3">
      <c r="C1130" s="489" t="s">
        <v>521</v>
      </c>
      <c r="D1130" s="490"/>
      <c r="E1130" s="490"/>
      <c r="F1130" s="490"/>
      <c r="G1130" s="490"/>
      <c r="H1130" s="490"/>
      <c r="I1130" s="490"/>
      <c r="J1130" s="491"/>
      <c r="K1130" s="145">
        <f>ROUND(L1128+L1121+L1114+L1106,0)</f>
        <v>381800</v>
      </c>
      <c r="L1130" s="146"/>
    </row>
    <row r="1132" spans="3:15" ht="13.5" thickBot="1" x14ac:dyDescent="0.3"/>
    <row r="1133" spans="3:15" x14ac:dyDescent="0.25">
      <c r="C1133" s="466" t="s">
        <v>495</v>
      </c>
      <c r="D1133" s="467"/>
      <c r="E1133" s="467"/>
      <c r="F1133" s="467"/>
      <c r="G1133" s="467"/>
      <c r="H1133" s="467"/>
      <c r="I1133" s="467"/>
      <c r="J1133" s="467"/>
      <c r="K1133" s="467"/>
      <c r="L1133" s="468"/>
    </row>
    <row r="1134" spans="3:15" ht="12.75" customHeight="1" x14ac:dyDescent="0.25">
      <c r="C1134" s="469" t="str">
        <f>+PPTO!$A$2</f>
        <v>REPOSICION E INSTALACION VALVULAS DE SECTORIZACION EN DIFERENTES SECTORES DEL MUNICIPIO DE PIEDECUESTA - SANTANDER.</v>
      </c>
      <c r="D1134" s="470"/>
      <c r="E1134" s="470"/>
      <c r="F1134" s="470"/>
      <c r="G1134" s="470"/>
      <c r="H1134" s="470"/>
      <c r="I1134" s="470"/>
      <c r="J1134" s="470"/>
      <c r="K1134" s="470"/>
      <c r="L1134" s="471"/>
    </row>
    <row r="1135" spans="3:15" x14ac:dyDescent="0.25">
      <c r="C1135" s="472" t="s">
        <v>496</v>
      </c>
      <c r="D1135" s="141">
        <f>+PPTO!$A$43</f>
        <v>5</v>
      </c>
      <c r="E1135" s="474" t="str">
        <f>+PPTO!$B$43</f>
        <v>VARIOS</v>
      </c>
      <c r="F1135" s="475"/>
      <c r="G1135" s="475"/>
      <c r="H1135" s="475"/>
      <c r="I1135" s="475"/>
      <c r="J1135" s="475"/>
      <c r="K1135" s="475"/>
      <c r="L1135" s="70" t="s">
        <v>52</v>
      </c>
    </row>
    <row r="1136" spans="3:15" ht="13.5" thickBot="1" x14ac:dyDescent="0.3">
      <c r="C1136" s="473"/>
      <c r="D1136" s="120">
        <f>+PPTO!A44</f>
        <v>5.01</v>
      </c>
      <c r="E1136" s="476" t="str">
        <f>+PPTO!B44</f>
        <v>Limpieza general</v>
      </c>
      <c r="F1136" s="476"/>
      <c r="G1136" s="476"/>
      <c r="H1136" s="476"/>
      <c r="I1136" s="476"/>
      <c r="J1136" s="476"/>
      <c r="K1136" s="476"/>
      <c r="L1136" s="71" t="str">
        <f>+PPTO!C44</f>
        <v>UND</v>
      </c>
    </row>
    <row r="1137" spans="3:12" ht="13.5" thickBot="1" x14ac:dyDescent="0.3">
      <c r="C1137" s="477"/>
      <c r="D1137" s="478"/>
      <c r="E1137" s="478"/>
      <c r="F1137" s="478"/>
      <c r="G1137" s="478"/>
      <c r="H1137" s="478"/>
      <c r="I1137" s="478"/>
      <c r="J1137" s="478"/>
      <c r="K1137" s="478"/>
      <c r="L1137" s="479"/>
    </row>
    <row r="1138" spans="3:12" x14ac:dyDescent="0.25">
      <c r="C1138" s="466" t="s">
        <v>497</v>
      </c>
      <c r="D1138" s="467"/>
      <c r="E1138" s="467"/>
      <c r="F1138" s="467"/>
      <c r="G1138" s="467"/>
      <c r="H1138" s="467"/>
      <c r="I1138" s="467"/>
      <c r="J1138" s="467"/>
      <c r="K1138" s="467"/>
      <c r="L1138" s="468"/>
    </row>
    <row r="1139" spans="3:12" x14ac:dyDescent="0.25">
      <c r="C1139" s="72" t="s">
        <v>66</v>
      </c>
      <c r="D1139" s="492" t="s">
        <v>498</v>
      </c>
      <c r="E1139" s="492"/>
      <c r="F1139" s="492"/>
      <c r="G1139" s="492"/>
      <c r="H1139" s="492"/>
      <c r="I1139" s="73" t="s">
        <v>499</v>
      </c>
      <c r="J1139" s="74" t="s">
        <v>500</v>
      </c>
      <c r="K1139" s="73" t="s">
        <v>501</v>
      </c>
      <c r="L1139" s="70" t="s">
        <v>502</v>
      </c>
    </row>
    <row r="1140" spans="3:12" x14ac:dyDescent="0.25">
      <c r="C1140" s="75"/>
      <c r="D1140" s="460"/>
      <c r="E1140" s="499"/>
      <c r="F1140" s="499"/>
      <c r="G1140" s="499"/>
      <c r="H1140" s="461"/>
      <c r="I1140" s="76"/>
      <c r="J1140" s="76"/>
      <c r="K1140" s="77"/>
      <c r="L1140" s="78"/>
    </row>
    <row r="1141" spans="3:12" x14ac:dyDescent="0.25">
      <c r="C1141" s="75"/>
      <c r="D1141" s="493"/>
      <c r="E1141" s="493"/>
      <c r="F1141" s="493"/>
      <c r="G1141" s="493"/>
      <c r="H1141" s="493"/>
      <c r="I1141" s="76"/>
      <c r="J1141" s="80"/>
      <c r="K1141" s="81"/>
      <c r="L1141" s="78"/>
    </row>
    <row r="1142" spans="3:12" x14ac:dyDescent="0.25">
      <c r="C1142" s="79"/>
      <c r="D1142" s="493" t="s">
        <v>503</v>
      </c>
      <c r="E1142" s="493"/>
      <c r="F1142" s="493"/>
      <c r="G1142" s="493"/>
      <c r="H1142" s="493"/>
      <c r="I1142" s="76" t="s">
        <v>61</v>
      </c>
      <c r="J1142" s="80">
        <v>1</v>
      </c>
      <c r="K1142" s="81">
        <f>L1163*0.1</f>
        <v>1527.1943701500002</v>
      </c>
      <c r="L1142" s="82">
        <f>K1142/J1142</f>
        <v>1527.1943701500002</v>
      </c>
    </row>
    <row r="1143" spans="3:12" ht="13.5" thickBot="1" x14ac:dyDescent="0.3">
      <c r="C1143" s="83"/>
      <c r="D1143" s="485" t="s">
        <v>504</v>
      </c>
      <c r="E1143" s="485"/>
      <c r="F1143" s="485"/>
      <c r="G1143" s="485"/>
      <c r="H1143" s="485"/>
      <c r="I1143" s="485"/>
      <c r="J1143" s="485"/>
      <c r="K1143" s="485"/>
      <c r="L1143" s="84">
        <f>SUM(L1140:L1142)</f>
        <v>1527.1943701500002</v>
      </c>
    </row>
    <row r="1144" spans="3:12" ht="13.5" thickBot="1" x14ac:dyDescent="0.3">
      <c r="C1144" s="477"/>
      <c r="D1144" s="478"/>
      <c r="E1144" s="478"/>
      <c r="F1144" s="478"/>
      <c r="G1144" s="478"/>
      <c r="H1144" s="478"/>
      <c r="I1144" s="478"/>
      <c r="J1144" s="478"/>
      <c r="K1144" s="478"/>
      <c r="L1144" s="479"/>
    </row>
    <row r="1145" spans="3:12" x14ac:dyDescent="0.25">
      <c r="C1145" s="466" t="s">
        <v>505</v>
      </c>
      <c r="D1145" s="467"/>
      <c r="E1145" s="467"/>
      <c r="F1145" s="467"/>
      <c r="G1145" s="467"/>
      <c r="H1145" s="467"/>
      <c r="I1145" s="467"/>
      <c r="J1145" s="467"/>
      <c r="K1145" s="467"/>
      <c r="L1145" s="468"/>
    </row>
    <row r="1146" spans="3:12" ht="25.5" x14ac:dyDescent="0.25">
      <c r="C1146" s="72" t="s">
        <v>66</v>
      </c>
      <c r="D1146" s="492" t="s">
        <v>498</v>
      </c>
      <c r="E1146" s="492"/>
      <c r="F1146" s="492"/>
      <c r="G1146" s="492"/>
      <c r="H1146" s="73" t="s">
        <v>499</v>
      </c>
      <c r="I1146" s="74" t="s">
        <v>506</v>
      </c>
      <c r="J1146" s="73" t="s">
        <v>501</v>
      </c>
      <c r="K1146" s="85" t="s">
        <v>507</v>
      </c>
      <c r="L1146" s="70" t="s">
        <v>502</v>
      </c>
    </row>
    <row r="1147" spans="3:12" x14ac:dyDescent="0.25">
      <c r="C1147" s="113" t="s">
        <v>757</v>
      </c>
      <c r="D1147" s="498" t="str">
        <f>+MATERIALES!$B$312</f>
        <v>Implementos de limpieza</v>
      </c>
      <c r="E1147" s="496"/>
      <c r="F1147" s="496"/>
      <c r="G1147" s="497"/>
      <c r="H1147" s="73" t="str">
        <f>+MATERIALES!$C$312</f>
        <v>glb</v>
      </c>
      <c r="I1147" s="76">
        <v>1</v>
      </c>
      <c r="J1147" s="86">
        <f>+MATERIALES!$D$312</f>
        <v>20401</v>
      </c>
      <c r="K1147" s="87">
        <v>0</v>
      </c>
      <c r="L1147" s="88">
        <f>I1147*J1147*(1+K1147)</f>
        <v>20401</v>
      </c>
    </row>
    <row r="1148" spans="3:12" x14ac:dyDescent="0.25">
      <c r="C1148" s="90"/>
      <c r="D1148" s="498"/>
      <c r="E1148" s="496"/>
      <c r="F1148" s="496"/>
      <c r="G1148" s="497"/>
      <c r="H1148" s="73"/>
      <c r="I1148" s="76"/>
      <c r="J1148" s="86"/>
      <c r="K1148" s="87"/>
      <c r="L1148" s="88"/>
    </row>
    <row r="1149" spans="3:12" ht="13.5" thickBot="1" x14ac:dyDescent="0.3">
      <c r="C1149" s="94"/>
      <c r="D1149" s="485" t="s">
        <v>508</v>
      </c>
      <c r="E1149" s="485"/>
      <c r="F1149" s="485"/>
      <c r="G1149" s="485"/>
      <c r="H1149" s="485"/>
      <c r="I1149" s="485"/>
      <c r="J1149" s="485"/>
      <c r="K1149" s="485"/>
      <c r="L1149" s="84">
        <f>SUM(L1147:L1148)</f>
        <v>20401</v>
      </c>
    </row>
    <row r="1150" spans="3:12" ht="13.5" thickBot="1" x14ac:dyDescent="0.3">
      <c r="C1150" s="486"/>
      <c r="D1150" s="487"/>
      <c r="E1150" s="487"/>
      <c r="F1150" s="487"/>
      <c r="G1150" s="487"/>
      <c r="H1150" s="487"/>
      <c r="I1150" s="487"/>
      <c r="J1150" s="487"/>
      <c r="K1150" s="487"/>
      <c r="L1150" s="488"/>
    </row>
    <row r="1151" spans="3:12" x14ac:dyDescent="0.25">
      <c r="C1151" s="466" t="s">
        <v>509</v>
      </c>
      <c r="D1151" s="467"/>
      <c r="E1151" s="467"/>
      <c r="F1151" s="467"/>
      <c r="G1151" s="467"/>
      <c r="H1151" s="467"/>
      <c r="I1151" s="467"/>
      <c r="J1151" s="467"/>
      <c r="K1151" s="467"/>
      <c r="L1151" s="468"/>
    </row>
    <row r="1152" spans="3:12" x14ac:dyDescent="0.25">
      <c r="C1152" s="72" t="s">
        <v>66</v>
      </c>
      <c r="D1152" s="492" t="s">
        <v>498</v>
      </c>
      <c r="E1152" s="492"/>
      <c r="F1152" s="492"/>
      <c r="G1152" s="492"/>
      <c r="H1152" s="73" t="s">
        <v>506</v>
      </c>
      <c r="I1152" s="73" t="s">
        <v>499</v>
      </c>
      <c r="J1152" s="74" t="s">
        <v>510</v>
      </c>
      <c r="K1152" s="85" t="s">
        <v>511</v>
      </c>
      <c r="L1152" s="70" t="s">
        <v>502</v>
      </c>
    </row>
    <row r="1153" spans="3:15" x14ac:dyDescent="0.25">
      <c r="C1153" s="90"/>
      <c r="D1153" s="494"/>
      <c r="E1153" s="494"/>
      <c r="F1153" s="494"/>
      <c r="G1153" s="494"/>
      <c r="H1153" s="76"/>
      <c r="I1153" s="97"/>
      <c r="J1153" s="97"/>
      <c r="K1153" s="95"/>
      <c r="L1153" s="96"/>
    </row>
    <row r="1154" spans="3:15" x14ac:dyDescent="0.25">
      <c r="C1154" s="90"/>
      <c r="D1154" s="495"/>
      <c r="E1154" s="495"/>
      <c r="F1154" s="495"/>
      <c r="G1154" s="495"/>
      <c r="H1154" s="76"/>
      <c r="I1154" s="97"/>
      <c r="J1154" s="97"/>
      <c r="K1154" s="95"/>
      <c r="L1154" s="96"/>
    </row>
    <row r="1155" spans="3:15" x14ac:dyDescent="0.25">
      <c r="C1155" s="90"/>
      <c r="D1155" s="495"/>
      <c r="E1155" s="495"/>
      <c r="F1155" s="495"/>
      <c r="G1155" s="495"/>
      <c r="H1155" s="76"/>
      <c r="I1155" s="97"/>
      <c r="J1155" s="97"/>
      <c r="K1155" s="95"/>
      <c r="L1155" s="96"/>
    </row>
    <row r="1156" spans="3:15" ht="13.5" thickBot="1" x14ac:dyDescent="0.3">
      <c r="C1156" s="83"/>
      <c r="D1156" s="485" t="s">
        <v>512</v>
      </c>
      <c r="E1156" s="485"/>
      <c r="F1156" s="485"/>
      <c r="G1156" s="485"/>
      <c r="H1156" s="485"/>
      <c r="I1156" s="485"/>
      <c r="J1156" s="485"/>
      <c r="K1156" s="485"/>
      <c r="L1156" s="98">
        <f>L1153</f>
        <v>0</v>
      </c>
    </row>
    <row r="1157" spans="3:15" ht="13.5" thickBot="1" x14ac:dyDescent="0.3">
      <c r="C1157" s="477"/>
      <c r="D1157" s="478"/>
      <c r="E1157" s="478"/>
      <c r="F1157" s="478"/>
      <c r="G1157" s="478"/>
      <c r="H1157" s="478"/>
      <c r="I1157" s="478"/>
      <c r="J1157" s="478"/>
      <c r="K1157" s="478"/>
      <c r="L1157" s="479"/>
      <c r="O1157" s="119">
        <f>37200-(L1163+L1143)</f>
        <v>20400.861928350001</v>
      </c>
    </row>
    <row r="1158" spans="3:15" x14ac:dyDescent="0.25">
      <c r="C1158" s="466" t="s">
        <v>513</v>
      </c>
      <c r="D1158" s="467"/>
      <c r="E1158" s="467"/>
      <c r="F1158" s="467"/>
      <c r="G1158" s="467"/>
      <c r="H1158" s="467"/>
      <c r="I1158" s="467"/>
      <c r="J1158" s="467"/>
      <c r="K1158" s="467"/>
      <c r="L1158" s="468"/>
    </row>
    <row r="1159" spans="3:15" x14ac:dyDescent="0.25">
      <c r="C1159" s="72" t="s">
        <v>66</v>
      </c>
      <c r="D1159" s="492" t="s">
        <v>498</v>
      </c>
      <c r="E1159" s="492"/>
      <c r="F1159" s="85" t="s">
        <v>499</v>
      </c>
      <c r="G1159" s="85" t="s">
        <v>506</v>
      </c>
      <c r="H1159" s="73" t="s">
        <v>514</v>
      </c>
      <c r="I1159" s="99" t="s">
        <v>515</v>
      </c>
      <c r="J1159" s="85" t="s">
        <v>516</v>
      </c>
      <c r="K1159" s="99" t="s">
        <v>517</v>
      </c>
      <c r="L1159" s="100" t="s">
        <v>502</v>
      </c>
    </row>
    <row r="1160" spans="3:15" x14ac:dyDescent="0.25">
      <c r="C1160" s="79" t="s">
        <v>519</v>
      </c>
      <c r="D1160" s="460" t="str">
        <f>'MANO DE OBRA'!$B$3</f>
        <v>Ayudante</v>
      </c>
      <c r="E1160" s="461"/>
      <c r="F1160" s="97" t="str">
        <f>'MANO DE OBRA'!$C$2</f>
        <v>DIA</v>
      </c>
      <c r="G1160" s="76">
        <v>3</v>
      </c>
      <c r="H1160" s="101">
        <f>'MANO DE OBRA'!$D$3</f>
        <v>28981.77</v>
      </c>
      <c r="I1160" s="102">
        <v>0.75649999999999995</v>
      </c>
      <c r="J1160" s="103">
        <f>(H1160+(H1160*I1160))</f>
        <v>50906.479005000001</v>
      </c>
      <c r="K1160" s="76">
        <v>10</v>
      </c>
      <c r="L1160" s="96">
        <f>G1160*(J1160/K1160)</f>
        <v>15271.9437015</v>
      </c>
    </row>
    <row r="1161" spans="3:15" x14ac:dyDescent="0.25">
      <c r="C1161" s="112"/>
      <c r="D1161" s="460"/>
      <c r="E1161" s="461"/>
      <c r="F1161" s="97"/>
      <c r="G1161" s="76"/>
      <c r="H1161" s="101"/>
      <c r="I1161" s="102"/>
      <c r="J1161" s="103"/>
      <c r="K1161" s="76"/>
      <c r="L1161" s="96"/>
    </row>
    <row r="1162" spans="3:15" x14ac:dyDescent="0.25">
      <c r="C1162" s="90"/>
      <c r="D1162" s="493"/>
      <c r="E1162" s="493"/>
      <c r="F1162" s="97"/>
      <c r="G1162" s="76"/>
      <c r="H1162" s="101"/>
      <c r="I1162" s="102"/>
      <c r="J1162" s="103"/>
      <c r="K1162" s="76"/>
      <c r="L1162" s="96"/>
    </row>
    <row r="1163" spans="3:15" ht="13.5" thickBot="1" x14ac:dyDescent="0.3">
      <c r="C1163" s="83"/>
      <c r="D1163" s="485" t="s">
        <v>520</v>
      </c>
      <c r="E1163" s="485"/>
      <c r="F1163" s="485"/>
      <c r="G1163" s="485"/>
      <c r="H1163" s="485"/>
      <c r="I1163" s="485"/>
      <c r="J1163" s="485"/>
      <c r="K1163" s="485"/>
      <c r="L1163" s="98">
        <f>L1161+L1160</f>
        <v>15271.9437015</v>
      </c>
    </row>
    <row r="1164" spans="3:15" ht="13.5" thickBot="1" x14ac:dyDescent="0.3">
      <c r="C1164" s="486"/>
      <c r="D1164" s="487"/>
      <c r="E1164" s="487"/>
      <c r="F1164" s="487"/>
      <c r="G1164" s="487"/>
      <c r="H1164" s="487"/>
      <c r="I1164" s="487"/>
      <c r="J1164" s="487"/>
      <c r="K1164" s="487"/>
      <c r="L1164" s="488"/>
    </row>
    <row r="1165" spans="3:15" ht="13.5" thickBot="1" x14ac:dyDescent="0.3">
      <c r="C1165" s="489" t="s">
        <v>521</v>
      </c>
      <c r="D1165" s="490"/>
      <c r="E1165" s="490"/>
      <c r="F1165" s="490"/>
      <c r="G1165" s="490"/>
      <c r="H1165" s="490"/>
      <c r="I1165" s="490"/>
      <c r="J1165" s="491"/>
      <c r="K1165" s="145">
        <f>ROUND(L1163+L1156+L1149+L1143,0)</f>
        <v>37200</v>
      </c>
      <c r="L1165" s="146"/>
    </row>
    <row r="1167" spans="3:15" ht="13.5" thickBot="1" x14ac:dyDescent="0.3"/>
    <row r="1168" spans="3:15" x14ac:dyDescent="0.25">
      <c r="C1168" s="466" t="s">
        <v>495</v>
      </c>
      <c r="D1168" s="467"/>
      <c r="E1168" s="467"/>
      <c r="F1168" s="467"/>
      <c r="G1168" s="467"/>
      <c r="H1168" s="467"/>
      <c r="I1168" s="467"/>
      <c r="J1168" s="467"/>
      <c r="K1168" s="467"/>
      <c r="L1168" s="468"/>
    </row>
    <row r="1169" spans="3:12" ht="12.75" customHeight="1" x14ac:dyDescent="0.25">
      <c r="C1169" s="469" t="str">
        <f>+PPTO!$A$2</f>
        <v>REPOSICION E INSTALACION VALVULAS DE SECTORIZACION EN DIFERENTES SECTORES DEL MUNICIPIO DE PIEDECUESTA - SANTANDER.</v>
      </c>
      <c r="D1169" s="470"/>
      <c r="E1169" s="470"/>
      <c r="F1169" s="470"/>
      <c r="G1169" s="470"/>
      <c r="H1169" s="470"/>
      <c r="I1169" s="470"/>
      <c r="J1169" s="470"/>
      <c r="K1169" s="470"/>
      <c r="L1169" s="471"/>
    </row>
    <row r="1170" spans="3:12" x14ac:dyDescent="0.25">
      <c r="C1170" s="472" t="s">
        <v>496</v>
      </c>
      <c r="D1170" s="141">
        <f>+PPTO!$A$43</f>
        <v>5</v>
      </c>
      <c r="E1170" s="474" t="str">
        <f>+PPTO!$B$43</f>
        <v>VARIOS</v>
      </c>
      <c r="F1170" s="475"/>
      <c r="G1170" s="475"/>
      <c r="H1170" s="475"/>
      <c r="I1170" s="475"/>
      <c r="J1170" s="475"/>
      <c r="K1170" s="475"/>
      <c r="L1170" s="70" t="s">
        <v>52</v>
      </c>
    </row>
    <row r="1171" spans="3:12" ht="13.5" thickBot="1" x14ac:dyDescent="0.3">
      <c r="C1171" s="473"/>
      <c r="D1171" s="120">
        <f>+PPTO!A45</f>
        <v>5.0199999999999996</v>
      </c>
      <c r="E1171" s="476" t="str">
        <f>+PPTO!B45</f>
        <v>Levantamiento y digitalización de planos</v>
      </c>
      <c r="F1171" s="476"/>
      <c r="G1171" s="476"/>
      <c r="H1171" s="476"/>
      <c r="I1171" s="476"/>
      <c r="J1171" s="476"/>
      <c r="K1171" s="476"/>
      <c r="L1171" s="71" t="str">
        <f>+PPTO!C45</f>
        <v>GB</v>
      </c>
    </row>
    <row r="1172" spans="3:12" ht="13.5" thickBot="1" x14ac:dyDescent="0.3">
      <c r="C1172" s="477"/>
      <c r="D1172" s="478"/>
      <c r="E1172" s="478"/>
      <c r="F1172" s="478"/>
      <c r="G1172" s="478"/>
      <c r="H1172" s="478"/>
      <c r="I1172" s="478"/>
      <c r="J1172" s="478"/>
      <c r="K1172" s="478"/>
      <c r="L1172" s="479"/>
    </row>
    <row r="1173" spans="3:12" x14ac:dyDescent="0.25">
      <c r="C1173" s="466" t="s">
        <v>497</v>
      </c>
      <c r="D1173" s="467"/>
      <c r="E1173" s="467"/>
      <c r="F1173" s="467"/>
      <c r="G1173" s="467"/>
      <c r="H1173" s="467"/>
      <c r="I1173" s="467"/>
      <c r="J1173" s="467"/>
      <c r="K1173" s="467"/>
      <c r="L1173" s="468"/>
    </row>
    <row r="1174" spans="3:12" x14ac:dyDescent="0.25">
      <c r="C1174" s="72" t="s">
        <v>66</v>
      </c>
      <c r="D1174" s="492" t="s">
        <v>498</v>
      </c>
      <c r="E1174" s="492"/>
      <c r="F1174" s="492"/>
      <c r="G1174" s="492"/>
      <c r="H1174" s="492"/>
      <c r="I1174" s="73" t="s">
        <v>499</v>
      </c>
      <c r="J1174" s="74" t="s">
        <v>500</v>
      </c>
      <c r="K1174" s="73" t="s">
        <v>501</v>
      </c>
      <c r="L1174" s="70" t="s">
        <v>502</v>
      </c>
    </row>
    <row r="1175" spans="3:12" x14ac:dyDescent="0.25">
      <c r="C1175" s="75"/>
      <c r="D1175" s="460"/>
      <c r="E1175" s="499"/>
      <c r="F1175" s="499"/>
      <c r="G1175" s="499"/>
      <c r="H1175" s="461"/>
      <c r="I1175" s="76"/>
      <c r="J1175" s="76"/>
      <c r="K1175" s="77"/>
      <c r="L1175" s="78"/>
    </row>
    <row r="1176" spans="3:12" x14ac:dyDescent="0.25">
      <c r="C1176" s="75"/>
      <c r="D1176" s="493"/>
      <c r="E1176" s="493"/>
      <c r="F1176" s="493"/>
      <c r="G1176" s="493"/>
      <c r="H1176" s="493"/>
      <c r="I1176" s="76"/>
      <c r="J1176" s="80"/>
      <c r="K1176" s="81"/>
      <c r="L1176" s="78"/>
    </row>
    <row r="1177" spans="3:12" x14ac:dyDescent="0.25">
      <c r="C1177" s="79"/>
      <c r="D1177" s="493" t="s">
        <v>503</v>
      </c>
      <c r="E1177" s="493"/>
      <c r="F1177" s="493"/>
      <c r="G1177" s="493"/>
      <c r="H1177" s="493"/>
      <c r="I1177" s="76" t="s">
        <v>61</v>
      </c>
      <c r="J1177" s="80">
        <v>1</v>
      </c>
      <c r="K1177" s="81">
        <f>L1198*0.1</f>
        <v>0</v>
      </c>
      <c r="L1177" s="82">
        <f>K1177/J1177</f>
        <v>0</v>
      </c>
    </row>
    <row r="1178" spans="3:12" ht="13.5" thickBot="1" x14ac:dyDescent="0.3">
      <c r="C1178" s="83"/>
      <c r="D1178" s="485" t="s">
        <v>504</v>
      </c>
      <c r="E1178" s="485"/>
      <c r="F1178" s="485"/>
      <c r="G1178" s="485"/>
      <c r="H1178" s="485"/>
      <c r="I1178" s="485"/>
      <c r="J1178" s="485"/>
      <c r="K1178" s="485"/>
      <c r="L1178" s="84">
        <f>SUM(L1175:L1177)</f>
        <v>0</v>
      </c>
    </row>
    <row r="1179" spans="3:12" ht="13.5" thickBot="1" x14ac:dyDescent="0.3">
      <c r="C1179" s="477"/>
      <c r="D1179" s="478"/>
      <c r="E1179" s="478"/>
      <c r="F1179" s="478"/>
      <c r="G1179" s="478"/>
      <c r="H1179" s="478"/>
      <c r="I1179" s="478"/>
      <c r="J1179" s="478"/>
      <c r="K1179" s="478"/>
      <c r="L1179" s="479"/>
    </row>
    <row r="1180" spans="3:12" x14ac:dyDescent="0.25">
      <c r="C1180" s="466" t="s">
        <v>505</v>
      </c>
      <c r="D1180" s="467"/>
      <c r="E1180" s="467"/>
      <c r="F1180" s="467"/>
      <c r="G1180" s="467"/>
      <c r="H1180" s="467"/>
      <c r="I1180" s="467"/>
      <c r="J1180" s="467"/>
      <c r="K1180" s="467"/>
      <c r="L1180" s="468"/>
    </row>
    <row r="1181" spans="3:12" ht="25.5" x14ac:dyDescent="0.25">
      <c r="C1181" s="72" t="s">
        <v>66</v>
      </c>
      <c r="D1181" s="492" t="s">
        <v>498</v>
      </c>
      <c r="E1181" s="492"/>
      <c r="F1181" s="492"/>
      <c r="G1181" s="492"/>
      <c r="H1181" s="73" t="s">
        <v>499</v>
      </c>
      <c r="I1181" s="74" t="s">
        <v>506</v>
      </c>
      <c r="J1181" s="73" t="s">
        <v>501</v>
      </c>
      <c r="K1181" s="85" t="s">
        <v>507</v>
      </c>
      <c r="L1181" s="70" t="s">
        <v>502</v>
      </c>
    </row>
    <row r="1182" spans="3:12" x14ac:dyDescent="0.25">
      <c r="C1182" s="113"/>
      <c r="D1182" s="481" t="s">
        <v>688</v>
      </c>
      <c r="E1182" s="496"/>
      <c r="F1182" s="496"/>
      <c r="G1182" s="497"/>
      <c r="H1182" s="73" t="str">
        <f>+MATERIALES!$C$312</f>
        <v>glb</v>
      </c>
      <c r="I1182" s="76">
        <v>1</v>
      </c>
      <c r="J1182" s="86">
        <v>1499100</v>
      </c>
      <c r="K1182" s="87">
        <v>0</v>
      </c>
      <c r="L1182" s="88">
        <f>I1182*J1182*(1+K1182)</f>
        <v>1499100</v>
      </c>
    </row>
    <row r="1183" spans="3:12" x14ac:dyDescent="0.25">
      <c r="C1183" s="90"/>
      <c r="D1183" s="498"/>
      <c r="E1183" s="496"/>
      <c r="F1183" s="496"/>
      <c r="G1183" s="497"/>
      <c r="H1183" s="73"/>
      <c r="I1183" s="76"/>
      <c r="J1183" s="86"/>
      <c r="K1183" s="87"/>
      <c r="L1183" s="88"/>
    </row>
    <row r="1184" spans="3:12" ht="13.5" thickBot="1" x14ac:dyDescent="0.3">
      <c r="C1184" s="94"/>
      <c r="D1184" s="485" t="s">
        <v>508</v>
      </c>
      <c r="E1184" s="485"/>
      <c r="F1184" s="485"/>
      <c r="G1184" s="485"/>
      <c r="H1184" s="485"/>
      <c r="I1184" s="485"/>
      <c r="J1184" s="485"/>
      <c r="K1184" s="485"/>
      <c r="L1184" s="84">
        <f>SUM(L1182:L1183)</f>
        <v>1499100</v>
      </c>
    </row>
    <row r="1185" spans="3:15" ht="13.5" thickBot="1" x14ac:dyDescent="0.3">
      <c r="C1185" s="486"/>
      <c r="D1185" s="487"/>
      <c r="E1185" s="487"/>
      <c r="F1185" s="487"/>
      <c r="G1185" s="487"/>
      <c r="H1185" s="487"/>
      <c r="I1185" s="487"/>
      <c r="J1185" s="487"/>
      <c r="K1185" s="487"/>
      <c r="L1185" s="488"/>
    </row>
    <row r="1186" spans="3:15" x14ac:dyDescent="0.25">
      <c r="C1186" s="466" t="s">
        <v>509</v>
      </c>
      <c r="D1186" s="467"/>
      <c r="E1186" s="467"/>
      <c r="F1186" s="467"/>
      <c r="G1186" s="467"/>
      <c r="H1186" s="467"/>
      <c r="I1186" s="467"/>
      <c r="J1186" s="467"/>
      <c r="K1186" s="467"/>
      <c r="L1186" s="468"/>
    </row>
    <row r="1187" spans="3:15" x14ac:dyDescent="0.25">
      <c r="C1187" s="72" t="s">
        <v>66</v>
      </c>
      <c r="D1187" s="492" t="s">
        <v>498</v>
      </c>
      <c r="E1187" s="492"/>
      <c r="F1187" s="492"/>
      <c r="G1187" s="492"/>
      <c r="H1187" s="73" t="s">
        <v>506</v>
      </c>
      <c r="I1187" s="73" t="s">
        <v>499</v>
      </c>
      <c r="J1187" s="74" t="s">
        <v>510</v>
      </c>
      <c r="K1187" s="85" t="s">
        <v>511</v>
      </c>
      <c r="L1187" s="70" t="s">
        <v>502</v>
      </c>
    </row>
    <row r="1188" spans="3:15" x14ac:dyDescent="0.25">
      <c r="C1188" s="90"/>
      <c r="D1188" s="494"/>
      <c r="E1188" s="494"/>
      <c r="F1188" s="494"/>
      <c r="G1188" s="494"/>
      <c r="H1188" s="76"/>
      <c r="I1188" s="97"/>
      <c r="J1188" s="97"/>
      <c r="K1188" s="95"/>
      <c r="L1188" s="96"/>
    </row>
    <row r="1189" spans="3:15" x14ac:dyDescent="0.25">
      <c r="C1189" s="90"/>
      <c r="D1189" s="495"/>
      <c r="E1189" s="495"/>
      <c r="F1189" s="495"/>
      <c r="G1189" s="495"/>
      <c r="H1189" s="76"/>
      <c r="I1189" s="97"/>
      <c r="J1189" s="97"/>
      <c r="K1189" s="95"/>
      <c r="L1189" s="96"/>
    </row>
    <row r="1190" spans="3:15" x14ac:dyDescent="0.25">
      <c r="C1190" s="90"/>
      <c r="D1190" s="495"/>
      <c r="E1190" s="495"/>
      <c r="F1190" s="495"/>
      <c r="G1190" s="495"/>
      <c r="H1190" s="76"/>
      <c r="I1190" s="97"/>
      <c r="J1190" s="97"/>
      <c r="K1190" s="95"/>
      <c r="L1190" s="96"/>
    </row>
    <row r="1191" spans="3:15" ht="13.5" thickBot="1" x14ac:dyDescent="0.3">
      <c r="C1191" s="83"/>
      <c r="D1191" s="485" t="s">
        <v>512</v>
      </c>
      <c r="E1191" s="485"/>
      <c r="F1191" s="485"/>
      <c r="G1191" s="485"/>
      <c r="H1191" s="485"/>
      <c r="I1191" s="485"/>
      <c r="J1191" s="485"/>
      <c r="K1191" s="485"/>
      <c r="L1191" s="98">
        <f>L1188</f>
        <v>0</v>
      </c>
    </row>
    <row r="1192" spans="3:15" ht="13.5" thickBot="1" x14ac:dyDescent="0.3">
      <c r="C1192" s="477"/>
      <c r="D1192" s="478"/>
      <c r="E1192" s="478"/>
      <c r="F1192" s="478"/>
      <c r="G1192" s="478"/>
      <c r="H1192" s="478"/>
      <c r="I1192" s="478"/>
      <c r="J1192" s="478"/>
      <c r="K1192" s="478"/>
      <c r="L1192" s="479"/>
      <c r="O1192" s="119">
        <f>37200-(L1198+L1178)</f>
        <v>37200</v>
      </c>
    </row>
    <row r="1193" spans="3:15" x14ac:dyDescent="0.25">
      <c r="C1193" s="466" t="s">
        <v>513</v>
      </c>
      <c r="D1193" s="467"/>
      <c r="E1193" s="467"/>
      <c r="F1193" s="467"/>
      <c r="G1193" s="467"/>
      <c r="H1193" s="467"/>
      <c r="I1193" s="467"/>
      <c r="J1193" s="467"/>
      <c r="K1193" s="467"/>
      <c r="L1193" s="468"/>
    </row>
    <row r="1194" spans="3:15" x14ac:dyDescent="0.25">
      <c r="C1194" s="72" t="s">
        <v>66</v>
      </c>
      <c r="D1194" s="492" t="s">
        <v>498</v>
      </c>
      <c r="E1194" s="492"/>
      <c r="F1194" s="85" t="s">
        <v>499</v>
      </c>
      <c r="G1194" s="85" t="s">
        <v>506</v>
      </c>
      <c r="H1194" s="73" t="s">
        <v>514</v>
      </c>
      <c r="I1194" s="99" t="s">
        <v>515</v>
      </c>
      <c r="J1194" s="85" t="s">
        <v>516</v>
      </c>
      <c r="K1194" s="99" t="s">
        <v>517</v>
      </c>
      <c r="L1194" s="100" t="s">
        <v>502</v>
      </c>
    </row>
    <row r="1195" spans="3:15" x14ac:dyDescent="0.25">
      <c r="C1195" s="79"/>
      <c r="D1195" s="460"/>
      <c r="E1195" s="461"/>
      <c r="F1195" s="97"/>
      <c r="G1195" s="76"/>
      <c r="H1195" s="101"/>
      <c r="I1195" s="102"/>
      <c r="J1195" s="103"/>
      <c r="K1195" s="76"/>
      <c r="L1195" s="96"/>
    </row>
    <row r="1196" spans="3:15" x14ac:dyDescent="0.25">
      <c r="C1196" s="112"/>
      <c r="D1196" s="460"/>
      <c r="E1196" s="461"/>
      <c r="F1196" s="97"/>
      <c r="G1196" s="76"/>
      <c r="H1196" s="101"/>
      <c r="I1196" s="102"/>
      <c r="J1196" s="103"/>
      <c r="K1196" s="76"/>
      <c r="L1196" s="96"/>
    </row>
    <row r="1197" spans="3:15" x14ac:dyDescent="0.25">
      <c r="C1197" s="90"/>
      <c r="D1197" s="493"/>
      <c r="E1197" s="493"/>
      <c r="F1197" s="97"/>
      <c r="G1197" s="76"/>
      <c r="H1197" s="101"/>
      <c r="I1197" s="102"/>
      <c r="J1197" s="103"/>
      <c r="K1197" s="76"/>
      <c r="L1197" s="96"/>
    </row>
    <row r="1198" spans="3:15" ht="13.5" thickBot="1" x14ac:dyDescent="0.3">
      <c r="C1198" s="83"/>
      <c r="D1198" s="485" t="s">
        <v>520</v>
      </c>
      <c r="E1198" s="485"/>
      <c r="F1198" s="485"/>
      <c r="G1198" s="485"/>
      <c r="H1198" s="485"/>
      <c r="I1198" s="485"/>
      <c r="J1198" s="485"/>
      <c r="K1198" s="485"/>
      <c r="L1198" s="98">
        <f>L1196+L1195</f>
        <v>0</v>
      </c>
    </row>
    <row r="1199" spans="3:15" ht="13.5" thickBot="1" x14ac:dyDescent="0.3">
      <c r="C1199" s="486"/>
      <c r="D1199" s="487"/>
      <c r="E1199" s="487"/>
      <c r="F1199" s="487"/>
      <c r="G1199" s="487"/>
      <c r="H1199" s="487"/>
      <c r="I1199" s="487"/>
      <c r="J1199" s="487"/>
      <c r="K1199" s="487"/>
      <c r="L1199" s="488"/>
    </row>
    <row r="1200" spans="3:15" ht="13.5" thickBot="1" x14ac:dyDescent="0.3">
      <c r="C1200" s="489" t="s">
        <v>521</v>
      </c>
      <c r="D1200" s="490"/>
      <c r="E1200" s="490"/>
      <c r="F1200" s="490"/>
      <c r="G1200" s="490"/>
      <c r="H1200" s="490"/>
      <c r="I1200" s="490"/>
      <c r="J1200" s="491"/>
      <c r="K1200" s="145">
        <f>ROUND(L1198+L1191+L1184+L1178,0)</f>
        <v>1499100</v>
      </c>
      <c r="L1200" s="146"/>
    </row>
  </sheetData>
  <mergeCells count="1167">
    <mergeCell ref="C1199:L1199"/>
    <mergeCell ref="C1200:J1200"/>
    <mergeCell ref="C611:L611"/>
    <mergeCell ref="C612:J612"/>
    <mergeCell ref="C615:L615"/>
    <mergeCell ref="C616:L616"/>
    <mergeCell ref="C617:C618"/>
    <mergeCell ref="E617:K617"/>
    <mergeCell ref="E618:K618"/>
    <mergeCell ref="C619:L619"/>
    <mergeCell ref="D621:H621"/>
    <mergeCell ref="D622:H622"/>
    <mergeCell ref="D623:H623"/>
    <mergeCell ref="D624:H624"/>
    <mergeCell ref="D625:K625"/>
    <mergeCell ref="D628:G628"/>
    <mergeCell ref="D643:E643"/>
    <mergeCell ref="D644:E644"/>
    <mergeCell ref="D631:G631"/>
    <mergeCell ref="D779:G779"/>
    <mergeCell ref="D780:G780"/>
    <mergeCell ref="D773:K773"/>
    <mergeCell ref="C775:L775"/>
    <mergeCell ref="D781:K781"/>
    <mergeCell ref="C782:L782"/>
    <mergeCell ref="D784:G784"/>
    <mergeCell ref="D788:K788"/>
    <mergeCell ref="D791:E791"/>
    <mergeCell ref="C767:L767"/>
    <mergeCell ref="C768:L768"/>
    <mergeCell ref="D757:E757"/>
    <mergeCell ref="D758:K758"/>
    <mergeCell ref="D594:G594"/>
    <mergeCell ref="D595:G595"/>
    <mergeCell ref="D596:K596"/>
    <mergeCell ref="C597:L597"/>
    <mergeCell ref="C598:L598"/>
    <mergeCell ref="D599:G599"/>
    <mergeCell ref="D600:G600"/>
    <mergeCell ref="D601:G601"/>
    <mergeCell ref="D602:G602"/>
    <mergeCell ref="D603:K603"/>
    <mergeCell ref="C604:L604"/>
    <mergeCell ref="C605:L605"/>
    <mergeCell ref="D606:E606"/>
    <mergeCell ref="D607:E607"/>
    <mergeCell ref="D608:E608"/>
    <mergeCell ref="D609:E609"/>
    <mergeCell ref="D610:K610"/>
    <mergeCell ref="C583:L583"/>
    <mergeCell ref="C584:L584"/>
    <mergeCell ref="D587:H587"/>
    <mergeCell ref="D588:H588"/>
    <mergeCell ref="D552:H552"/>
    <mergeCell ref="D553:K553"/>
    <mergeCell ref="C554:L554"/>
    <mergeCell ref="C555:L555"/>
    <mergeCell ref="D557:G557"/>
    <mergeCell ref="D558:G558"/>
    <mergeCell ref="D559:G559"/>
    <mergeCell ref="D560:K560"/>
    <mergeCell ref="C561:L561"/>
    <mergeCell ref="C562:L562"/>
    <mergeCell ref="D563:G563"/>
    <mergeCell ref="D564:G564"/>
    <mergeCell ref="D565:G565"/>
    <mergeCell ref="D566:G566"/>
    <mergeCell ref="D567:K567"/>
    <mergeCell ref="C568:L568"/>
    <mergeCell ref="C547:L547"/>
    <mergeCell ref="C548:L548"/>
    <mergeCell ref="D549:H549"/>
    <mergeCell ref="D550:H550"/>
    <mergeCell ref="D551:H551"/>
    <mergeCell ref="D570:E570"/>
    <mergeCell ref="D571:E571"/>
    <mergeCell ref="D572:E572"/>
    <mergeCell ref="D573:E573"/>
    <mergeCell ref="D574:K574"/>
    <mergeCell ref="C575:L575"/>
    <mergeCell ref="C576:J576"/>
    <mergeCell ref="C579:L579"/>
    <mergeCell ref="C580:L580"/>
    <mergeCell ref="C581:C582"/>
    <mergeCell ref="E581:K581"/>
    <mergeCell ref="E582:K582"/>
    <mergeCell ref="D498:E498"/>
    <mergeCell ref="D499:E499"/>
    <mergeCell ref="D500:E500"/>
    <mergeCell ref="D501:E501"/>
    <mergeCell ref="D502:K502"/>
    <mergeCell ref="C503:L503"/>
    <mergeCell ref="C504:J504"/>
    <mergeCell ref="C468:J468"/>
    <mergeCell ref="C471:L471"/>
    <mergeCell ref="C472:L472"/>
    <mergeCell ref="C473:C474"/>
    <mergeCell ref="E473:K473"/>
    <mergeCell ref="E474:K474"/>
    <mergeCell ref="C475:L475"/>
    <mergeCell ref="D477:H477"/>
    <mergeCell ref="D478:H478"/>
    <mergeCell ref="D479:H479"/>
    <mergeCell ref="D480:H480"/>
    <mergeCell ref="D481:K481"/>
    <mergeCell ref="C482:L482"/>
    <mergeCell ref="D484:G484"/>
    <mergeCell ref="D485:G485"/>
    <mergeCell ref="D486:G486"/>
    <mergeCell ref="C460:L460"/>
    <mergeCell ref="C461:L461"/>
    <mergeCell ref="D462:E462"/>
    <mergeCell ref="D463:E463"/>
    <mergeCell ref="D464:E464"/>
    <mergeCell ref="D465:E465"/>
    <mergeCell ref="D466:K466"/>
    <mergeCell ref="C467:L467"/>
    <mergeCell ref="D487:G487"/>
    <mergeCell ref="D488:K488"/>
    <mergeCell ref="C489:L489"/>
    <mergeCell ref="D491:G491"/>
    <mergeCell ref="D492:G492"/>
    <mergeCell ref="D493:G493"/>
    <mergeCell ref="D494:G494"/>
    <mergeCell ref="D495:K495"/>
    <mergeCell ref="C497:L497"/>
    <mergeCell ref="C439:L439"/>
    <mergeCell ref="C440:L440"/>
    <mergeCell ref="D441:H441"/>
    <mergeCell ref="D442:H442"/>
    <mergeCell ref="D443:H443"/>
    <mergeCell ref="D444:H444"/>
    <mergeCell ref="D445:K445"/>
    <mergeCell ref="C446:L446"/>
    <mergeCell ref="C447:L447"/>
    <mergeCell ref="D448:G448"/>
    <mergeCell ref="C395:L395"/>
    <mergeCell ref="C396:J396"/>
    <mergeCell ref="C399:L399"/>
    <mergeCell ref="C400:L400"/>
    <mergeCell ref="C401:C402"/>
    <mergeCell ref="E401:K401"/>
    <mergeCell ref="E402:K402"/>
    <mergeCell ref="C403:L403"/>
    <mergeCell ref="D405:H405"/>
    <mergeCell ref="D406:H406"/>
    <mergeCell ref="D407:H407"/>
    <mergeCell ref="D408:H408"/>
    <mergeCell ref="D409:K409"/>
    <mergeCell ref="C411:L411"/>
    <mergeCell ref="D412:G412"/>
    <mergeCell ref="D413:G413"/>
    <mergeCell ref="C365:C366"/>
    <mergeCell ref="E365:K365"/>
    <mergeCell ref="D137:K137"/>
    <mergeCell ref="C138:L138"/>
    <mergeCell ref="C139:L139"/>
    <mergeCell ref="D140:E140"/>
    <mergeCell ref="D141:E141"/>
    <mergeCell ref="D142:E142"/>
    <mergeCell ref="D143:E143"/>
    <mergeCell ref="D144:K144"/>
    <mergeCell ref="C145:L145"/>
    <mergeCell ref="C146:J146"/>
    <mergeCell ref="D165:K165"/>
    <mergeCell ref="C166:L166"/>
    <mergeCell ref="D168:G168"/>
    <mergeCell ref="D171:K171"/>
    <mergeCell ref="C172:L172"/>
    <mergeCell ref="C173:L173"/>
    <mergeCell ref="D263:H263"/>
    <mergeCell ref="D264:K264"/>
    <mergeCell ref="C265:L265"/>
    <mergeCell ref="C266:L266"/>
    <mergeCell ref="D267:G267"/>
    <mergeCell ref="D268:G268"/>
    <mergeCell ref="D269:G269"/>
    <mergeCell ref="D271:K271"/>
    <mergeCell ref="C272:L272"/>
    <mergeCell ref="C273:L273"/>
    <mergeCell ref="D260:H260"/>
    <mergeCell ref="D261:H261"/>
    <mergeCell ref="D231:G231"/>
    <mergeCell ref="D232:G232"/>
    <mergeCell ref="D128:G128"/>
    <mergeCell ref="D129:G129"/>
    <mergeCell ref="D130:K130"/>
    <mergeCell ref="C131:L131"/>
    <mergeCell ref="C132:L132"/>
    <mergeCell ref="D133:G133"/>
    <mergeCell ref="D134:G134"/>
    <mergeCell ref="D135:G135"/>
    <mergeCell ref="D136:G136"/>
    <mergeCell ref="C113:L113"/>
    <mergeCell ref="C114:L114"/>
    <mergeCell ref="C115:C116"/>
    <mergeCell ref="E115:K115"/>
    <mergeCell ref="E116:K116"/>
    <mergeCell ref="C117:L117"/>
    <mergeCell ref="C118:L118"/>
    <mergeCell ref="D119:H119"/>
    <mergeCell ref="D120:H120"/>
    <mergeCell ref="D121:H121"/>
    <mergeCell ref="D122:H122"/>
    <mergeCell ref="D123:H123"/>
    <mergeCell ref="D124:K124"/>
    <mergeCell ref="C125:L125"/>
    <mergeCell ref="C126:L126"/>
    <mergeCell ref="D127:G127"/>
    <mergeCell ref="C1150:L1150"/>
    <mergeCell ref="C1151:L1151"/>
    <mergeCell ref="C1158:L1158"/>
    <mergeCell ref="C1133:L1133"/>
    <mergeCell ref="C1137:L1137"/>
    <mergeCell ref="C1138:L1138"/>
    <mergeCell ref="C1130:J1130"/>
    <mergeCell ref="C1134:L1134"/>
    <mergeCell ref="C1135:C1136"/>
    <mergeCell ref="E1135:K1135"/>
    <mergeCell ref="E1136:K1136"/>
    <mergeCell ref="D1140:H1140"/>
    <mergeCell ref="D1141:H1141"/>
    <mergeCell ref="D1142:H1142"/>
    <mergeCell ref="D1143:K1143"/>
    <mergeCell ref="C1144:L1144"/>
    <mergeCell ref="D1149:K1149"/>
    <mergeCell ref="D1155:G1155"/>
    <mergeCell ref="D1120:G1120"/>
    <mergeCell ref="D1121:K1121"/>
    <mergeCell ref="D1126:E1126"/>
    <mergeCell ref="D1127:E1127"/>
    <mergeCell ref="D1128:K1128"/>
    <mergeCell ref="C1129:L1129"/>
    <mergeCell ref="C1098:C1099"/>
    <mergeCell ref="E1098:K1098"/>
    <mergeCell ref="E1099:K1099"/>
    <mergeCell ref="C1101:L1101"/>
    <mergeCell ref="D1103:H1103"/>
    <mergeCell ref="D1104:H1104"/>
    <mergeCell ref="D1105:H1105"/>
    <mergeCell ref="D1106:K1106"/>
    <mergeCell ref="C1107:L1107"/>
    <mergeCell ref="C1108:L1108"/>
    <mergeCell ref="C1085:L1085"/>
    <mergeCell ref="C1115:L1115"/>
    <mergeCell ref="C1123:L1123"/>
    <mergeCell ref="D1114:K1114"/>
    <mergeCell ref="C1100:L1100"/>
    <mergeCell ref="D932:G932"/>
    <mergeCell ref="D933:G933"/>
    <mergeCell ref="D1080:G1080"/>
    <mergeCell ref="D1081:G1081"/>
    <mergeCell ref="D1082:G1082"/>
    <mergeCell ref="D1083:G1083"/>
    <mergeCell ref="D1084:K1084"/>
    <mergeCell ref="D1087:E1087"/>
    <mergeCell ref="D1088:E1088"/>
    <mergeCell ref="D1089:E1089"/>
    <mergeCell ref="D1090:E1090"/>
    <mergeCell ref="D1091:K1091"/>
    <mergeCell ref="C1093:J1093"/>
    <mergeCell ref="C1064:L1064"/>
    <mergeCell ref="C1070:L1070"/>
    <mergeCell ref="C1079:L1079"/>
    <mergeCell ref="C1061:C1062"/>
    <mergeCell ref="E1061:K1061"/>
    <mergeCell ref="D1065:H1065"/>
    <mergeCell ref="D1067:H1067"/>
    <mergeCell ref="D1068:H1068"/>
    <mergeCell ref="D1076:G1076"/>
    <mergeCell ref="D1077:K1077"/>
    <mergeCell ref="D1075:G1075"/>
    <mergeCell ref="C1059:L1059"/>
    <mergeCell ref="C1060:L1060"/>
    <mergeCell ref="D1050:E1050"/>
    <mergeCell ref="C1049:L1049"/>
    <mergeCell ref="D978:E978"/>
    <mergeCell ref="D979:E979"/>
    <mergeCell ref="C1019:J1019"/>
    <mergeCell ref="E1062:K1062"/>
    <mergeCell ref="C656:L656"/>
    <mergeCell ref="C875:L875"/>
    <mergeCell ref="C627:L627"/>
    <mergeCell ref="D629:G629"/>
    <mergeCell ref="D630:G630"/>
    <mergeCell ref="C634:L634"/>
    <mergeCell ref="C648:L648"/>
    <mergeCell ref="C833:L833"/>
    <mergeCell ref="C837:L837"/>
    <mergeCell ref="C838:L838"/>
    <mergeCell ref="D843:H843"/>
    <mergeCell ref="D887:G887"/>
    <mergeCell ref="D850:G850"/>
    <mergeCell ref="D851:G851"/>
    <mergeCell ref="D852:G852"/>
    <mergeCell ref="C870:L870"/>
    <mergeCell ref="C874:L874"/>
    <mergeCell ref="C722:L722"/>
    <mergeCell ref="C727:L727"/>
    <mergeCell ref="C723:J723"/>
    <mergeCell ref="C728:C729"/>
    <mergeCell ref="E728:K728"/>
    <mergeCell ref="E729:K729"/>
    <mergeCell ref="C730:L730"/>
    <mergeCell ref="D732:H732"/>
    <mergeCell ref="D733:H733"/>
    <mergeCell ref="D734:H734"/>
    <mergeCell ref="D735:H735"/>
    <mergeCell ref="C759:L759"/>
    <mergeCell ref="C760:J760"/>
    <mergeCell ref="C764:L764"/>
    <mergeCell ref="C765:C766"/>
    <mergeCell ref="D814:G814"/>
    <mergeCell ref="D815:G815"/>
    <mergeCell ref="C1086:L1086"/>
    <mergeCell ref="C959:L959"/>
    <mergeCell ref="C960:L960"/>
    <mergeCell ref="D969:G969"/>
    <mergeCell ref="C1172:L1172"/>
    <mergeCell ref="C1173:L1173"/>
    <mergeCell ref="C1185:L1185"/>
    <mergeCell ref="D1187:G1187"/>
    <mergeCell ref="D1188:G1188"/>
    <mergeCell ref="C1170:C1171"/>
    <mergeCell ref="E1170:K1170"/>
    <mergeCell ref="E1171:K1171"/>
    <mergeCell ref="D1174:H1174"/>
    <mergeCell ref="D1175:H1175"/>
    <mergeCell ref="D1176:H1176"/>
    <mergeCell ref="D1177:H1177"/>
    <mergeCell ref="D1178:K1178"/>
    <mergeCell ref="C1179:L1179"/>
    <mergeCell ref="C1180:L1180"/>
    <mergeCell ref="D1182:G1182"/>
    <mergeCell ref="D1183:G1183"/>
    <mergeCell ref="D1184:K1184"/>
    <mergeCell ref="C1186:L1186"/>
    <mergeCell ref="C1145:L1145"/>
    <mergeCell ref="C1116:L1116"/>
    <mergeCell ref="D888:G888"/>
    <mergeCell ref="D1054:K1054"/>
    <mergeCell ref="C1055:L1055"/>
    <mergeCell ref="D943:K943"/>
    <mergeCell ref="C944:L944"/>
    <mergeCell ref="D1189:G1189"/>
    <mergeCell ref="D1190:G1190"/>
    <mergeCell ref="D674:G674"/>
    <mergeCell ref="D675:G675"/>
    <mergeCell ref="D676:G676"/>
    <mergeCell ref="C679:L679"/>
    <mergeCell ref="C689:L689"/>
    <mergeCell ref="C657:L657"/>
    <mergeCell ref="C641:L641"/>
    <mergeCell ref="D645:E645"/>
    <mergeCell ref="D646:E646"/>
    <mergeCell ref="D647:K647"/>
    <mergeCell ref="C649:J649"/>
    <mergeCell ref="C653:L653"/>
    <mergeCell ref="C654:C655"/>
    <mergeCell ref="E654:K654"/>
    <mergeCell ref="E655:K655"/>
    <mergeCell ref="C652:L652"/>
    <mergeCell ref="C796:L796"/>
    <mergeCell ref="C800:L800"/>
    <mergeCell ref="C801:L801"/>
    <mergeCell ref="D806:H806"/>
    <mergeCell ref="D813:G813"/>
    <mergeCell ref="C901:L901"/>
    <mergeCell ref="D776:G776"/>
    <mergeCell ref="D906:K906"/>
    <mergeCell ref="D899:K899"/>
    <mergeCell ref="C900:L900"/>
    <mergeCell ref="D902:E902"/>
    <mergeCell ref="D903:E903"/>
    <mergeCell ref="D904:E904"/>
    <mergeCell ref="D905:E905"/>
    <mergeCell ref="C1192:L1192"/>
    <mergeCell ref="C1193:L1193"/>
    <mergeCell ref="C907:L907"/>
    <mergeCell ref="D769:H769"/>
    <mergeCell ref="D778:G778"/>
    <mergeCell ref="D1152:G1152"/>
    <mergeCell ref="D1161:E1161"/>
    <mergeCell ref="D1162:E1162"/>
    <mergeCell ref="D1109:G1109"/>
    <mergeCell ref="D1110:G1110"/>
    <mergeCell ref="D1111:G1111"/>
    <mergeCell ref="D1112:G1112"/>
    <mergeCell ref="D1113:G1113"/>
    <mergeCell ref="D1118:G1118"/>
    <mergeCell ref="D1119:G1119"/>
    <mergeCell ref="C1122:L1122"/>
    <mergeCell ref="D1124:E1124"/>
    <mergeCell ref="D1125:E1125"/>
    <mergeCell ref="C1092:L1092"/>
    <mergeCell ref="C1096:L1096"/>
    <mergeCell ref="C1097:L1097"/>
    <mergeCell ref="D1102:H1102"/>
    <mergeCell ref="D1072:G1072"/>
    <mergeCell ref="D1073:G1073"/>
    <mergeCell ref="D1074:G1074"/>
    <mergeCell ref="D810:K810"/>
    <mergeCell ref="C811:L811"/>
    <mergeCell ref="C826:L826"/>
    <mergeCell ref="C827:L827"/>
    <mergeCell ref="C856:L856"/>
    <mergeCell ref="C804:L804"/>
    <mergeCell ref="D809:H809"/>
    <mergeCell ref="D884:K884"/>
    <mergeCell ref="C885:L885"/>
    <mergeCell ref="C886:L886"/>
    <mergeCell ref="D889:G889"/>
    <mergeCell ref="D890:G890"/>
    <mergeCell ref="C876:C877"/>
    <mergeCell ref="E876:K876"/>
    <mergeCell ref="E877:K877"/>
    <mergeCell ref="D880:H880"/>
    <mergeCell ref="D881:H881"/>
    <mergeCell ref="D891:G891"/>
    <mergeCell ref="D895:G895"/>
    <mergeCell ref="D896:G896"/>
    <mergeCell ref="D897:G897"/>
    <mergeCell ref="D898:G898"/>
    <mergeCell ref="C849:L849"/>
    <mergeCell ref="D858:G858"/>
    <mergeCell ref="D862:K862"/>
    <mergeCell ref="C864:L864"/>
    <mergeCell ref="D866:E866"/>
    <mergeCell ref="C863:L863"/>
    <mergeCell ref="D865:E865"/>
    <mergeCell ref="D869:K869"/>
    <mergeCell ref="C871:J871"/>
    <mergeCell ref="D1194:E1194"/>
    <mergeCell ref="D1195:E1195"/>
    <mergeCell ref="D1191:K1191"/>
    <mergeCell ref="C671:L671"/>
    <mergeCell ref="D705:G705"/>
    <mergeCell ref="D706:G706"/>
    <mergeCell ref="C1022:L1022"/>
    <mergeCell ref="C693:L693"/>
    <mergeCell ref="C635:L635"/>
    <mergeCell ref="D636:G636"/>
    <mergeCell ref="D637:G637"/>
    <mergeCell ref="D638:G638"/>
    <mergeCell ref="D639:G639"/>
    <mergeCell ref="C763:L763"/>
    <mergeCell ref="D633:K633"/>
    <mergeCell ref="D755:E755"/>
    <mergeCell ref="D756:E756"/>
    <mergeCell ref="D712:G712"/>
    <mergeCell ref="D684:K684"/>
    <mergeCell ref="C685:L685"/>
    <mergeCell ref="D667:G667"/>
    <mergeCell ref="D668:G668"/>
    <mergeCell ref="D670:K670"/>
    <mergeCell ref="D673:G673"/>
    <mergeCell ref="C663:L663"/>
    <mergeCell ref="C664:L664"/>
    <mergeCell ref="D658:H658"/>
    <mergeCell ref="D659:H659"/>
    <mergeCell ref="D660:H660"/>
    <mergeCell ref="D661:H661"/>
    <mergeCell ref="D662:K662"/>
    <mergeCell ref="D666:G666"/>
    <mergeCell ref="C981:L981"/>
    <mergeCell ref="C982:J982"/>
    <mergeCell ref="C626:L626"/>
    <mergeCell ref="D680:E680"/>
    <mergeCell ref="D681:E681"/>
    <mergeCell ref="D682:E682"/>
    <mergeCell ref="D683:E683"/>
    <mergeCell ref="C686:J686"/>
    <mergeCell ref="C690:L690"/>
    <mergeCell ref="C691:C692"/>
    <mergeCell ref="E691:K691"/>
    <mergeCell ref="E692:K692"/>
    <mergeCell ref="D695:H695"/>
    <mergeCell ref="C975:L975"/>
    <mergeCell ref="D976:E976"/>
    <mergeCell ref="D977:E977"/>
    <mergeCell ref="D713:G713"/>
    <mergeCell ref="C968:L968"/>
    <mergeCell ref="D956:H956"/>
    <mergeCell ref="D924:G924"/>
    <mergeCell ref="D928:G928"/>
    <mergeCell ref="D640:K640"/>
    <mergeCell ref="E839:K839"/>
    <mergeCell ref="C841:L841"/>
    <mergeCell ref="D844:H844"/>
    <mergeCell ref="D934:G934"/>
    <mergeCell ref="D935:G935"/>
    <mergeCell ref="C922:L922"/>
    <mergeCell ref="C923:L923"/>
    <mergeCell ref="C908:J908"/>
    <mergeCell ref="D882:H882"/>
    <mergeCell ref="D883:H883"/>
    <mergeCell ref="D1196:E1196"/>
    <mergeCell ref="D1197:E1197"/>
    <mergeCell ref="D1198:K1198"/>
    <mergeCell ref="C694:L694"/>
    <mergeCell ref="C949:L949"/>
    <mergeCell ref="D954:H954"/>
    <mergeCell ref="D955:H955"/>
    <mergeCell ref="C716:L716"/>
    <mergeCell ref="D751:K751"/>
    <mergeCell ref="C752:L752"/>
    <mergeCell ref="C738:L738"/>
    <mergeCell ref="D749:G749"/>
    <mergeCell ref="D750:G750"/>
    <mergeCell ref="C753:L753"/>
    <mergeCell ref="D993:H993"/>
    <mergeCell ref="D1006:G1006"/>
    <mergeCell ref="D1008:G1008"/>
    <mergeCell ref="D1010:K1010"/>
    <mergeCell ref="D1014:E1014"/>
    <mergeCell ref="D1015:E1015"/>
    <mergeCell ref="D1016:E1016"/>
    <mergeCell ref="D1017:K1017"/>
    <mergeCell ref="D748:G748"/>
    <mergeCell ref="D699:K699"/>
    <mergeCell ref="C700:L700"/>
    <mergeCell ref="C701:L701"/>
    <mergeCell ref="D696:H696"/>
    <mergeCell ref="D697:H697"/>
    <mergeCell ref="D698:H698"/>
    <mergeCell ref="D702:G702"/>
    <mergeCell ref="D703:G703"/>
    <mergeCell ref="D704:G704"/>
    <mergeCell ref="D262:H262"/>
    <mergeCell ref="D242:K242"/>
    <mergeCell ref="C243:L243"/>
    <mergeCell ref="C244:L244"/>
    <mergeCell ref="D245:E245"/>
    <mergeCell ref="C642:L642"/>
    <mergeCell ref="D632:G632"/>
    <mergeCell ref="C1164:L1164"/>
    <mergeCell ref="C1165:J1165"/>
    <mergeCell ref="D1153:G1153"/>
    <mergeCell ref="D1154:G1154"/>
    <mergeCell ref="C1157:L1157"/>
    <mergeCell ref="D1156:K1156"/>
    <mergeCell ref="D1159:E1159"/>
    <mergeCell ref="D1160:E1160"/>
    <mergeCell ref="D1163:K1163"/>
    <mergeCell ref="D1139:H1139"/>
    <mergeCell ref="D1147:G1147"/>
    <mergeCell ref="D1148:G1148"/>
    <mergeCell ref="D1146:G1146"/>
    <mergeCell ref="C878:L878"/>
    <mergeCell ref="D1051:E1051"/>
    <mergeCell ref="D1052:E1052"/>
    <mergeCell ref="D1053:E1053"/>
    <mergeCell ref="C1056:J1056"/>
    <mergeCell ref="D1046:G1046"/>
    <mergeCell ref="D711:G711"/>
    <mergeCell ref="D710:G710"/>
    <mergeCell ref="C731:L731"/>
    <mergeCell ref="C737:L737"/>
    <mergeCell ref="D794:E794"/>
    <mergeCell ref="D777:G777"/>
    <mergeCell ref="D270:G270"/>
    <mergeCell ref="C1026:L1026"/>
    <mergeCell ref="D1117:G1117"/>
    <mergeCell ref="C1078:L1078"/>
    <mergeCell ref="C1027:L1027"/>
    <mergeCell ref="D1066:H1066"/>
    <mergeCell ref="D1029:H1029"/>
    <mergeCell ref="D892:K892"/>
    <mergeCell ref="C893:L893"/>
    <mergeCell ref="C894:L894"/>
    <mergeCell ref="D970:G970"/>
    <mergeCell ref="D971:G971"/>
    <mergeCell ref="D972:G972"/>
    <mergeCell ref="D973:K973"/>
    <mergeCell ref="C974:L974"/>
    <mergeCell ref="C915:L915"/>
    <mergeCell ref="C916:L916"/>
    <mergeCell ref="D669:G669"/>
    <mergeCell ref="C672:L672"/>
    <mergeCell ref="D677:K677"/>
    <mergeCell ref="C678:L678"/>
    <mergeCell ref="D739:G739"/>
    <mergeCell ref="D1038:G1038"/>
    <mergeCell ref="D1039:G1039"/>
    <mergeCell ref="D961:G961"/>
    <mergeCell ref="D962:G962"/>
    <mergeCell ref="D963:G963"/>
    <mergeCell ref="D964:G964"/>
    <mergeCell ref="D965:G965"/>
    <mergeCell ref="D966:K966"/>
    <mergeCell ref="C967:L967"/>
    <mergeCell ref="D980:K980"/>
    <mergeCell ref="D246:E246"/>
    <mergeCell ref="D247:E247"/>
    <mergeCell ref="D248:E248"/>
    <mergeCell ref="D249:K249"/>
    <mergeCell ref="C250:L250"/>
    <mergeCell ref="C251:J251"/>
    <mergeCell ref="D198:G198"/>
    <mergeCell ref="C201:L201"/>
    <mergeCell ref="D203:G203"/>
    <mergeCell ref="D204:G204"/>
    <mergeCell ref="D205:G205"/>
    <mergeCell ref="C258:L258"/>
    <mergeCell ref="C259:L259"/>
    <mergeCell ref="C200:L200"/>
    <mergeCell ref="D202:G202"/>
    <mergeCell ref="D206:K206"/>
    <mergeCell ref="C207:L207"/>
    <mergeCell ref="D209:E209"/>
    <mergeCell ref="D213:K213"/>
    <mergeCell ref="C214:L214"/>
    <mergeCell ref="C215:J215"/>
    <mergeCell ref="D233:G233"/>
    <mergeCell ref="D234:G234"/>
    <mergeCell ref="D235:K235"/>
    <mergeCell ref="C236:L236"/>
    <mergeCell ref="C237:L237"/>
    <mergeCell ref="C254:L254"/>
    <mergeCell ref="C255:L255"/>
    <mergeCell ref="C256:C257"/>
    <mergeCell ref="E256:K256"/>
    <mergeCell ref="E257:K257"/>
    <mergeCell ref="D199:K199"/>
    <mergeCell ref="C310:L310"/>
    <mergeCell ref="D311:G311"/>
    <mergeCell ref="D312:G312"/>
    <mergeCell ref="D313:G313"/>
    <mergeCell ref="C208:L208"/>
    <mergeCell ref="D210:E210"/>
    <mergeCell ref="D211:E211"/>
    <mergeCell ref="D212:E212"/>
    <mergeCell ref="C223:L223"/>
    <mergeCell ref="D224:H224"/>
    <mergeCell ref="D225:H225"/>
    <mergeCell ref="D226:H226"/>
    <mergeCell ref="D227:H227"/>
    <mergeCell ref="D228:K228"/>
    <mergeCell ref="C229:L229"/>
    <mergeCell ref="C230:L230"/>
    <mergeCell ref="D274:G274"/>
    <mergeCell ref="D275:G275"/>
    <mergeCell ref="D276:G276"/>
    <mergeCell ref="D277:G277"/>
    <mergeCell ref="D278:K278"/>
    <mergeCell ref="C279:L279"/>
    <mergeCell ref="C280:L280"/>
    <mergeCell ref="D281:E281"/>
    <mergeCell ref="D282:E282"/>
    <mergeCell ref="D283:E283"/>
    <mergeCell ref="D284:E284"/>
    <mergeCell ref="C287:J287"/>
    <mergeCell ref="D238:G238"/>
    <mergeCell ref="D239:G239"/>
    <mergeCell ref="D240:G240"/>
    <mergeCell ref="D241:G241"/>
    <mergeCell ref="C183:L183"/>
    <mergeCell ref="C184:L184"/>
    <mergeCell ref="C185:C186"/>
    <mergeCell ref="E185:K185"/>
    <mergeCell ref="E186:K186"/>
    <mergeCell ref="C187:L187"/>
    <mergeCell ref="C188:L188"/>
    <mergeCell ref="D189:H189"/>
    <mergeCell ref="D164:G164"/>
    <mergeCell ref="C167:L167"/>
    <mergeCell ref="D156:H156"/>
    <mergeCell ref="D157:H157"/>
    <mergeCell ref="D158:H158"/>
    <mergeCell ref="D159:K159"/>
    <mergeCell ref="C160:L160"/>
    <mergeCell ref="C161:L161"/>
    <mergeCell ref="D162:G162"/>
    <mergeCell ref="D163:G163"/>
    <mergeCell ref="D177:E177"/>
    <mergeCell ref="D174:E174"/>
    <mergeCell ref="D175:E175"/>
    <mergeCell ref="D178:K178"/>
    <mergeCell ref="C179:L179"/>
    <mergeCell ref="C180:J180"/>
    <mergeCell ref="C149:L149"/>
    <mergeCell ref="C150:L150"/>
    <mergeCell ref="C151:C152"/>
    <mergeCell ref="E151:K151"/>
    <mergeCell ref="E152:K152"/>
    <mergeCell ref="C153:L153"/>
    <mergeCell ref="C154:L154"/>
    <mergeCell ref="D155:H155"/>
    <mergeCell ref="D169:G169"/>
    <mergeCell ref="D170:G170"/>
    <mergeCell ref="D176:E176"/>
    <mergeCell ref="C327:L327"/>
    <mergeCell ref="C328:L328"/>
    <mergeCell ref="D314:G314"/>
    <mergeCell ref="D315:K315"/>
    <mergeCell ref="C316:L316"/>
    <mergeCell ref="C317:L317"/>
    <mergeCell ref="D318:E318"/>
    <mergeCell ref="D319:E319"/>
    <mergeCell ref="D320:E320"/>
    <mergeCell ref="D301:G301"/>
    <mergeCell ref="D302:G302"/>
    <mergeCell ref="D303:G303"/>
    <mergeCell ref="D304:G304"/>
    <mergeCell ref="D305:G305"/>
    <mergeCell ref="D306:G306"/>
    <mergeCell ref="C218:L218"/>
    <mergeCell ref="C219:L219"/>
    <mergeCell ref="C220:C221"/>
    <mergeCell ref="E220:K220"/>
    <mergeCell ref="E221:K221"/>
    <mergeCell ref="C222:L222"/>
    <mergeCell ref="C329:C330"/>
    <mergeCell ref="E329:K329"/>
    <mergeCell ref="E330:K330"/>
    <mergeCell ref="C323:L323"/>
    <mergeCell ref="C324:J324"/>
    <mergeCell ref="D190:H190"/>
    <mergeCell ref="D191:H191"/>
    <mergeCell ref="D192:H192"/>
    <mergeCell ref="D193:K193"/>
    <mergeCell ref="C194:L194"/>
    <mergeCell ref="C195:L195"/>
    <mergeCell ref="D196:G196"/>
    <mergeCell ref="D197:G197"/>
    <mergeCell ref="C294:L294"/>
    <mergeCell ref="C295:L295"/>
    <mergeCell ref="D296:H296"/>
    <mergeCell ref="D297:H297"/>
    <mergeCell ref="D285:K285"/>
    <mergeCell ref="D298:K298"/>
    <mergeCell ref="C299:L299"/>
    <mergeCell ref="C300:L300"/>
    <mergeCell ref="C286:L286"/>
    <mergeCell ref="C290:L290"/>
    <mergeCell ref="C291:L291"/>
    <mergeCell ref="C292:C293"/>
    <mergeCell ref="E292:K292"/>
    <mergeCell ref="E293:K293"/>
    <mergeCell ref="D321:E321"/>
    <mergeCell ref="D322:K322"/>
    <mergeCell ref="D307:G307"/>
    <mergeCell ref="D308:K308"/>
    <mergeCell ref="C309:L309"/>
    <mergeCell ref="E366:K366"/>
    <mergeCell ref="C368:L368"/>
    <mergeCell ref="C331:L331"/>
    <mergeCell ref="C332:L332"/>
    <mergeCell ref="D333:H333"/>
    <mergeCell ref="D334:H334"/>
    <mergeCell ref="D335:H335"/>
    <mergeCell ref="D336:H336"/>
    <mergeCell ref="D337:K337"/>
    <mergeCell ref="C338:L338"/>
    <mergeCell ref="C339:L339"/>
    <mergeCell ref="D340:G340"/>
    <mergeCell ref="D341:G341"/>
    <mergeCell ref="D342:G342"/>
    <mergeCell ref="C367:L367"/>
    <mergeCell ref="D371:H371"/>
    <mergeCell ref="D372:H372"/>
    <mergeCell ref="D343:G343"/>
    <mergeCell ref="D344:K344"/>
    <mergeCell ref="C345:L345"/>
    <mergeCell ref="C346:L346"/>
    <mergeCell ref="D347:G347"/>
    <mergeCell ref="D348:G348"/>
    <mergeCell ref="D349:G349"/>
    <mergeCell ref="D350:G350"/>
    <mergeCell ref="D351:K351"/>
    <mergeCell ref="C352:L352"/>
    <mergeCell ref="C353:L353"/>
    <mergeCell ref="D354:E354"/>
    <mergeCell ref="D355:E355"/>
    <mergeCell ref="D356:E356"/>
    <mergeCell ref="D357:E357"/>
    <mergeCell ref="D358:K358"/>
    <mergeCell ref="C375:L375"/>
    <mergeCell ref="D377:G377"/>
    <mergeCell ref="D378:G378"/>
    <mergeCell ref="D379:G379"/>
    <mergeCell ref="C363:L363"/>
    <mergeCell ref="C364:L364"/>
    <mergeCell ref="C359:L359"/>
    <mergeCell ref="C360:J360"/>
    <mergeCell ref="C453:L453"/>
    <mergeCell ref="C454:L454"/>
    <mergeCell ref="D383:G383"/>
    <mergeCell ref="D384:G384"/>
    <mergeCell ref="D385:G385"/>
    <mergeCell ref="D386:G386"/>
    <mergeCell ref="D370:H370"/>
    <mergeCell ref="C404:L404"/>
    <mergeCell ref="C410:L410"/>
    <mergeCell ref="D369:H369"/>
    <mergeCell ref="D373:K373"/>
    <mergeCell ref="C374:L374"/>
    <mergeCell ref="D376:G376"/>
    <mergeCell ref="D380:K380"/>
    <mergeCell ref="C381:L381"/>
    <mergeCell ref="C382:L382"/>
    <mergeCell ref="D387:K387"/>
    <mergeCell ref="C388:L388"/>
    <mergeCell ref="C389:L389"/>
    <mergeCell ref="D390:E390"/>
    <mergeCell ref="D391:E391"/>
    <mergeCell ref="D392:E392"/>
    <mergeCell ref="D393:E393"/>
    <mergeCell ref="D449:G449"/>
    <mergeCell ref="D450:G450"/>
    <mergeCell ref="D451:G451"/>
    <mergeCell ref="D452:K452"/>
    <mergeCell ref="D455:G455"/>
    <mergeCell ref="D456:G456"/>
    <mergeCell ref="D457:G457"/>
    <mergeCell ref="D458:G458"/>
    <mergeCell ref="D459:K459"/>
    <mergeCell ref="D394:K394"/>
    <mergeCell ref="D422:G422"/>
    <mergeCell ref="D414:G414"/>
    <mergeCell ref="D415:G415"/>
    <mergeCell ref="D416:K416"/>
    <mergeCell ref="C417:L417"/>
    <mergeCell ref="C418:L418"/>
    <mergeCell ref="D419:G419"/>
    <mergeCell ref="D420:G420"/>
    <mergeCell ref="D421:G421"/>
    <mergeCell ref="D423:K423"/>
    <mergeCell ref="C424:L424"/>
    <mergeCell ref="C425:L425"/>
    <mergeCell ref="D426:E426"/>
    <mergeCell ref="D427:E427"/>
    <mergeCell ref="D428:E428"/>
    <mergeCell ref="D429:E429"/>
    <mergeCell ref="D430:K430"/>
    <mergeCell ref="C431:L431"/>
    <mergeCell ref="C432:J432"/>
    <mergeCell ref="C437:C438"/>
    <mergeCell ref="E437:K437"/>
    <mergeCell ref="E438:K438"/>
    <mergeCell ref="D537:E537"/>
    <mergeCell ref="D538:K538"/>
    <mergeCell ref="C539:L539"/>
    <mergeCell ref="C540:J540"/>
    <mergeCell ref="C543:L543"/>
    <mergeCell ref="C544:L544"/>
    <mergeCell ref="C545:C546"/>
    <mergeCell ref="E545:K545"/>
    <mergeCell ref="E546:K546"/>
    <mergeCell ref="C435:L435"/>
    <mergeCell ref="C436:L436"/>
    <mergeCell ref="C490:L490"/>
    <mergeCell ref="C496:L496"/>
    <mergeCell ref="C483:L483"/>
    <mergeCell ref="C476:L476"/>
    <mergeCell ref="C507:L507"/>
    <mergeCell ref="C518:L518"/>
    <mergeCell ref="D520:G520"/>
    <mergeCell ref="D521:G521"/>
    <mergeCell ref="D522:G522"/>
    <mergeCell ref="C508:L508"/>
    <mergeCell ref="C509:C510"/>
    <mergeCell ref="E509:K509"/>
    <mergeCell ref="E510:K510"/>
    <mergeCell ref="C511:L511"/>
    <mergeCell ref="C512:L512"/>
    <mergeCell ref="D513:H513"/>
    <mergeCell ref="D514:H514"/>
    <mergeCell ref="D515:H515"/>
    <mergeCell ref="D516:H516"/>
    <mergeCell ref="D517:K517"/>
    <mergeCell ref="C519:L519"/>
    <mergeCell ref="D740:G740"/>
    <mergeCell ref="D741:G741"/>
    <mergeCell ref="D742:G742"/>
    <mergeCell ref="D743:G743"/>
    <mergeCell ref="D744:K744"/>
    <mergeCell ref="C745:L745"/>
    <mergeCell ref="C746:L746"/>
    <mergeCell ref="D747:G747"/>
    <mergeCell ref="D754:E754"/>
    <mergeCell ref="D523:G523"/>
    <mergeCell ref="D556:G556"/>
    <mergeCell ref="C525:L525"/>
    <mergeCell ref="D524:K524"/>
    <mergeCell ref="C526:L526"/>
    <mergeCell ref="D527:G527"/>
    <mergeCell ref="D528:G528"/>
    <mergeCell ref="D529:G529"/>
    <mergeCell ref="D530:G530"/>
    <mergeCell ref="D531:K531"/>
    <mergeCell ref="C532:L532"/>
    <mergeCell ref="C533:L533"/>
    <mergeCell ref="D534:E534"/>
    <mergeCell ref="D585:H585"/>
    <mergeCell ref="D586:H586"/>
    <mergeCell ref="D592:G592"/>
    <mergeCell ref="D593:G593"/>
    <mergeCell ref="D589:K589"/>
    <mergeCell ref="C590:L590"/>
    <mergeCell ref="C591:L591"/>
    <mergeCell ref="C569:L569"/>
    <mergeCell ref="D535:E535"/>
    <mergeCell ref="D536:E536"/>
    <mergeCell ref="C774:L774"/>
    <mergeCell ref="C789:L789"/>
    <mergeCell ref="C790:L790"/>
    <mergeCell ref="D795:K795"/>
    <mergeCell ref="C802:C803"/>
    <mergeCell ref="E802:K802"/>
    <mergeCell ref="C783:L783"/>
    <mergeCell ref="D785:G785"/>
    <mergeCell ref="D786:G786"/>
    <mergeCell ref="D787:G787"/>
    <mergeCell ref="D792:E792"/>
    <mergeCell ref="D793:E793"/>
    <mergeCell ref="E765:K765"/>
    <mergeCell ref="E766:K766"/>
    <mergeCell ref="D770:H770"/>
    <mergeCell ref="D771:H771"/>
    <mergeCell ref="D772:H772"/>
    <mergeCell ref="D825:K825"/>
    <mergeCell ref="D828:E828"/>
    <mergeCell ref="D829:E829"/>
    <mergeCell ref="C3:L3"/>
    <mergeCell ref="C4:L4"/>
    <mergeCell ref="C5:C6"/>
    <mergeCell ref="E5:K5"/>
    <mergeCell ref="E6:K6"/>
    <mergeCell ref="C7:L7"/>
    <mergeCell ref="C8:L8"/>
    <mergeCell ref="D9:H9"/>
    <mergeCell ref="D10:H10"/>
    <mergeCell ref="D11:H11"/>
    <mergeCell ref="D12:H12"/>
    <mergeCell ref="D13:K13"/>
    <mergeCell ref="C14:L14"/>
    <mergeCell ref="C15:L15"/>
    <mergeCell ref="D16:G16"/>
    <mergeCell ref="D17:G17"/>
    <mergeCell ref="D18:G18"/>
    <mergeCell ref="D19:G19"/>
    <mergeCell ref="D20:G20"/>
    <mergeCell ref="D21:G21"/>
    <mergeCell ref="D22:K22"/>
    <mergeCell ref="C23:L23"/>
    <mergeCell ref="C24:L24"/>
    <mergeCell ref="C620:L620"/>
    <mergeCell ref="C708:L708"/>
    <mergeCell ref="D707:K707"/>
    <mergeCell ref="C709:L709"/>
    <mergeCell ref="C715:L715"/>
    <mergeCell ref="C726:L726"/>
    <mergeCell ref="D25:G25"/>
    <mergeCell ref="D26:G26"/>
    <mergeCell ref="D27:G27"/>
    <mergeCell ref="D28:G28"/>
    <mergeCell ref="D29:K29"/>
    <mergeCell ref="C30:L30"/>
    <mergeCell ref="C31:L31"/>
    <mergeCell ref="D32:E32"/>
    <mergeCell ref="D33:E33"/>
    <mergeCell ref="D34:E34"/>
    <mergeCell ref="D35:E35"/>
    <mergeCell ref="D36:K36"/>
    <mergeCell ref="C37:L37"/>
    <mergeCell ref="C38:J38"/>
    <mergeCell ref="C41:L41"/>
    <mergeCell ref="C42:L42"/>
    <mergeCell ref="C43:C44"/>
    <mergeCell ref="E43:K43"/>
    <mergeCell ref="E44:K44"/>
    <mergeCell ref="C45:L45"/>
    <mergeCell ref="C46:L46"/>
    <mergeCell ref="D47:H47"/>
    <mergeCell ref="D48:H48"/>
    <mergeCell ref="D49:H49"/>
    <mergeCell ref="D50:H50"/>
    <mergeCell ref="D51:K51"/>
    <mergeCell ref="C52:L52"/>
    <mergeCell ref="C53:L53"/>
    <mergeCell ref="D54:G54"/>
    <mergeCell ref="D55:G55"/>
    <mergeCell ref="D56:G56"/>
    <mergeCell ref="D57:G57"/>
    <mergeCell ref="D58:K58"/>
    <mergeCell ref="C59:L59"/>
    <mergeCell ref="C60:L60"/>
    <mergeCell ref="D61:G61"/>
    <mergeCell ref="D62:G62"/>
    <mergeCell ref="D63:G63"/>
    <mergeCell ref="D64:G64"/>
    <mergeCell ref="D65:K65"/>
    <mergeCell ref="C66:L66"/>
    <mergeCell ref="C67:L67"/>
    <mergeCell ref="D68:E68"/>
    <mergeCell ref="D69:E69"/>
    <mergeCell ref="D70:E70"/>
    <mergeCell ref="D71:E71"/>
    <mergeCell ref="D72:K72"/>
    <mergeCell ref="C73:L73"/>
    <mergeCell ref="C74:J74"/>
    <mergeCell ref="C77:L77"/>
    <mergeCell ref="C78:L78"/>
    <mergeCell ref="C79:C80"/>
    <mergeCell ref="E79:K79"/>
    <mergeCell ref="E80:K80"/>
    <mergeCell ref="D808:H808"/>
    <mergeCell ref="C812:L812"/>
    <mergeCell ref="D816:G816"/>
    <mergeCell ref="D817:G817"/>
    <mergeCell ref="C820:L820"/>
    <mergeCell ref="D822:G822"/>
    <mergeCell ref="D823:G823"/>
    <mergeCell ref="D824:G824"/>
    <mergeCell ref="C81:L81"/>
    <mergeCell ref="C82:L82"/>
    <mergeCell ref="D83:H83"/>
    <mergeCell ref="D84:H84"/>
    <mergeCell ref="D85:H85"/>
    <mergeCell ref="D87:H87"/>
    <mergeCell ref="D88:K88"/>
    <mergeCell ref="C89:L89"/>
    <mergeCell ref="C90:L90"/>
    <mergeCell ref="D91:G91"/>
    <mergeCell ref="D92:G92"/>
    <mergeCell ref="D86:H86"/>
    <mergeCell ref="D93:G93"/>
    <mergeCell ref="D94:K94"/>
    <mergeCell ref="C95:L95"/>
    <mergeCell ref="C96:L96"/>
    <mergeCell ref="D97:G97"/>
    <mergeCell ref="D665:G665"/>
    <mergeCell ref="D714:K714"/>
    <mergeCell ref="D717:E717"/>
    <mergeCell ref="D718:E718"/>
    <mergeCell ref="D719:E719"/>
    <mergeCell ref="D720:E720"/>
    <mergeCell ref="D721:K721"/>
    <mergeCell ref="C987:C988"/>
    <mergeCell ref="E987:K987"/>
    <mergeCell ref="E988:K988"/>
    <mergeCell ref="D991:H991"/>
    <mergeCell ref="D992:H992"/>
    <mergeCell ref="C1005:L1005"/>
    <mergeCell ref="D1007:G1007"/>
    <mergeCell ref="D1001:G1001"/>
    <mergeCell ref="D98:G98"/>
    <mergeCell ref="D99:G99"/>
    <mergeCell ref="D100:G100"/>
    <mergeCell ref="D101:K101"/>
    <mergeCell ref="C102:L102"/>
    <mergeCell ref="C103:L103"/>
    <mergeCell ref="D104:E104"/>
    <mergeCell ref="D105:E105"/>
    <mergeCell ref="D106:E106"/>
    <mergeCell ref="D107:E107"/>
    <mergeCell ref="D108:K108"/>
    <mergeCell ref="C109:L109"/>
    <mergeCell ref="C110:J110"/>
    <mergeCell ref="C797:J797"/>
    <mergeCell ref="D821:G821"/>
    <mergeCell ref="E803:K803"/>
    <mergeCell ref="C986:L986"/>
    <mergeCell ref="D861:G861"/>
    <mergeCell ref="D867:E867"/>
    <mergeCell ref="D853:G853"/>
    <mergeCell ref="D854:G854"/>
    <mergeCell ref="D868:E868"/>
    <mergeCell ref="C805:L805"/>
    <mergeCell ref="D807:H807"/>
    <mergeCell ref="D1037:G1037"/>
    <mergeCell ref="C1041:L1041"/>
    <mergeCell ref="C1168:L1168"/>
    <mergeCell ref="C1169:L1169"/>
    <mergeCell ref="D1181:G1181"/>
    <mergeCell ref="C879:L879"/>
    <mergeCell ref="C953:L953"/>
    <mergeCell ref="C952:L952"/>
    <mergeCell ref="D957:H957"/>
    <mergeCell ref="D958:K958"/>
    <mergeCell ref="C989:L989"/>
    <mergeCell ref="C990:L990"/>
    <mergeCell ref="C1012:L1012"/>
    <mergeCell ref="D1032:K1032"/>
    <mergeCell ref="C1033:L1033"/>
    <mergeCell ref="C1034:L1034"/>
    <mergeCell ref="C1023:L1023"/>
    <mergeCell ref="C1024:C1025"/>
    <mergeCell ref="E1024:K1024"/>
    <mergeCell ref="E1025:K1025"/>
    <mergeCell ref="D1028:H1028"/>
    <mergeCell ref="D1030:H1030"/>
    <mergeCell ref="D1031:H1031"/>
    <mergeCell ref="D1035:G1035"/>
    <mergeCell ref="D1036:G1036"/>
    <mergeCell ref="C1042:L1042"/>
    <mergeCell ref="D1043:G1043"/>
    <mergeCell ref="D1044:G1044"/>
    <mergeCell ref="D1045:G1045"/>
    <mergeCell ref="D994:H994"/>
    <mergeCell ref="D1047:K1047"/>
    <mergeCell ref="C1048:L1048"/>
    <mergeCell ref="D1069:K1069"/>
    <mergeCell ref="C1071:L1071"/>
    <mergeCell ref="C1063:L1063"/>
    <mergeCell ref="C911:L911"/>
    <mergeCell ref="C912:L912"/>
    <mergeCell ref="C913:C914"/>
    <mergeCell ref="E913:K913"/>
    <mergeCell ref="E914:K914"/>
    <mergeCell ref="D917:H917"/>
    <mergeCell ref="D918:H918"/>
    <mergeCell ref="D919:H919"/>
    <mergeCell ref="D920:H920"/>
    <mergeCell ref="D921:K921"/>
    <mergeCell ref="D925:G925"/>
    <mergeCell ref="D927:G927"/>
    <mergeCell ref="D929:K929"/>
    <mergeCell ref="C930:L930"/>
    <mergeCell ref="C931:L931"/>
    <mergeCell ref="D936:K936"/>
    <mergeCell ref="C937:L937"/>
    <mergeCell ref="D926:G926"/>
    <mergeCell ref="D939:E939"/>
    <mergeCell ref="D940:E940"/>
    <mergeCell ref="D941:E941"/>
    <mergeCell ref="D942:E942"/>
    <mergeCell ref="C945:J945"/>
    <mergeCell ref="C948:L948"/>
    <mergeCell ref="C950:C951"/>
    <mergeCell ref="E950:K950"/>
    <mergeCell ref="E951:K951"/>
    <mergeCell ref="D1040:K1040"/>
    <mergeCell ref="C1011:L1011"/>
    <mergeCell ref="C938:L938"/>
    <mergeCell ref="D1009:G1009"/>
    <mergeCell ref="C1018:L1018"/>
    <mergeCell ref="C985:L985"/>
    <mergeCell ref="D1013:E1013"/>
    <mergeCell ref="D736:K736"/>
    <mergeCell ref="D818:K818"/>
    <mergeCell ref="C819:L819"/>
    <mergeCell ref="D845:H845"/>
    <mergeCell ref="D830:E830"/>
    <mergeCell ref="D831:E831"/>
    <mergeCell ref="D832:K832"/>
    <mergeCell ref="C834:J834"/>
    <mergeCell ref="C839:C840"/>
    <mergeCell ref="E840:K840"/>
    <mergeCell ref="C842:L842"/>
    <mergeCell ref="C848:L848"/>
    <mergeCell ref="C857:L857"/>
    <mergeCell ref="D859:G859"/>
    <mergeCell ref="D860:G860"/>
    <mergeCell ref="D846:H846"/>
    <mergeCell ref="D847:K847"/>
    <mergeCell ref="D855:K855"/>
    <mergeCell ref="D995:K995"/>
    <mergeCell ref="C996:L996"/>
    <mergeCell ref="C997:L997"/>
    <mergeCell ref="D998:G998"/>
    <mergeCell ref="D999:G999"/>
    <mergeCell ref="D1000:G1000"/>
    <mergeCell ref="D1002:G1002"/>
    <mergeCell ref="D1003:K1003"/>
    <mergeCell ref="C1004:L1004"/>
  </mergeCells>
  <printOptions horizontalCentered="1"/>
  <pageMargins left="0.70866141732283472" right="0.70866141732283472" top="0.74803149606299213" bottom="0.74803149606299213" header="0.31496062992125984" footer="0.31496062992125984"/>
  <pageSetup scale="48" orientation="portrait" horizontalDpi="4294967293" r:id="rId1"/>
  <rowBreaks count="10" manualBreakCount="10">
    <brk id="111" min="1" max="12" man="1"/>
    <brk id="216" min="1" max="12" man="1"/>
    <brk id="325" min="1" max="12" man="1"/>
    <brk id="433" min="1" max="12" man="1"/>
    <brk id="541" min="1" max="12" man="1"/>
    <brk id="650" min="1" max="12" man="1"/>
    <brk id="761" min="1" max="12" man="1"/>
    <brk id="872" min="1" max="12" man="1"/>
    <brk id="983" min="1" max="12" man="1"/>
    <brk id="1094" min="1"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98"/>
  <sheetViews>
    <sheetView view="pageBreakPreview" topLeftCell="A29" zoomScale="85" zoomScaleNormal="90" zoomScaleSheetLayoutView="85" workbookViewId="0">
      <selection activeCell="I29" sqref="I29:I42"/>
    </sheetView>
  </sheetViews>
  <sheetFormatPr baseColWidth="10" defaultColWidth="11.5703125" defaultRowHeight="12" x14ac:dyDescent="0.25"/>
  <cols>
    <col min="1" max="1" width="6.28515625" style="157" bestFit="1" customWidth="1"/>
    <col min="2" max="2" width="48.5703125" style="157" customWidth="1"/>
    <col min="3" max="3" width="7.140625" style="274" customWidth="1"/>
    <col min="4" max="4" width="8.7109375" style="276" customWidth="1"/>
    <col min="5" max="5" width="14" style="157" customWidth="1"/>
    <col min="6" max="6" width="21.28515625" style="157" customWidth="1"/>
    <col min="7" max="7" width="10.85546875" style="250" hidden="1" customWidth="1"/>
    <col min="8" max="8" width="16.7109375" style="157" hidden="1" customWidth="1"/>
    <col min="9" max="9" width="11.28515625" style="250" customWidth="1"/>
    <col min="10" max="10" width="20.85546875" style="157" customWidth="1"/>
    <col min="11" max="11" width="16.140625" style="157" hidden="1" customWidth="1"/>
    <col min="12" max="12" width="20" style="157" hidden="1" customWidth="1"/>
    <col min="13" max="13" width="14.140625" style="250" customWidth="1"/>
    <col min="14" max="14" width="20.42578125" style="157" hidden="1" customWidth="1"/>
    <col min="15" max="15" width="25.7109375" style="157" customWidth="1"/>
    <col min="16" max="16384" width="11.5703125" style="157"/>
  </cols>
  <sheetData>
    <row r="1" spans="1:15" ht="18.75" hidden="1" customHeight="1" thickBot="1" x14ac:dyDescent="0.3">
      <c r="A1" s="540" t="s">
        <v>833</v>
      </c>
      <c r="B1" s="541"/>
      <c r="C1" s="541"/>
      <c r="D1" s="541"/>
      <c r="E1" s="541"/>
      <c r="F1" s="541"/>
      <c r="G1" s="541"/>
      <c r="H1" s="541"/>
      <c r="I1" s="541"/>
      <c r="J1" s="544" t="s">
        <v>763</v>
      </c>
      <c r="K1" s="545"/>
      <c r="L1" s="545"/>
      <c r="M1" s="545" t="s">
        <v>763</v>
      </c>
      <c r="N1" s="546" t="s">
        <v>763</v>
      </c>
    </row>
    <row r="2" spans="1:15" ht="19.5" hidden="1" customHeight="1" thickBot="1" x14ac:dyDescent="0.3">
      <c r="A2" s="542"/>
      <c r="B2" s="543"/>
      <c r="C2" s="543"/>
      <c r="D2" s="543"/>
      <c r="E2" s="543"/>
      <c r="F2" s="543"/>
      <c r="G2" s="543"/>
      <c r="H2" s="543"/>
      <c r="I2" s="543"/>
      <c r="J2" s="544" t="s">
        <v>764</v>
      </c>
      <c r="K2" s="545"/>
      <c r="L2" s="545"/>
      <c r="M2" s="545" t="s">
        <v>764</v>
      </c>
      <c r="N2" s="546" t="s">
        <v>764</v>
      </c>
    </row>
    <row r="3" spans="1:15" ht="21" hidden="1" customHeight="1" thickBot="1" x14ac:dyDescent="0.3">
      <c r="A3" s="547"/>
      <c r="B3" s="548"/>
      <c r="C3" s="552" t="s">
        <v>765</v>
      </c>
      <c r="D3" s="553"/>
      <c r="E3" s="553"/>
      <c r="F3" s="554"/>
      <c r="G3" s="561" t="s">
        <v>803</v>
      </c>
      <c r="H3" s="562"/>
      <c r="I3" s="562"/>
      <c r="J3" s="544" t="s">
        <v>802</v>
      </c>
      <c r="K3" s="545"/>
      <c r="L3" s="545"/>
      <c r="M3" s="545" t="s">
        <v>766</v>
      </c>
      <c r="N3" s="546" t="s">
        <v>766</v>
      </c>
    </row>
    <row r="4" spans="1:15" ht="39" hidden="1" customHeight="1" thickBot="1" x14ac:dyDescent="0.3">
      <c r="A4" s="549"/>
      <c r="B4" s="550"/>
      <c r="C4" s="555"/>
      <c r="D4" s="556"/>
      <c r="E4" s="556"/>
      <c r="F4" s="557"/>
      <c r="G4" s="563" t="s">
        <v>804</v>
      </c>
      <c r="H4" s="564"/>
      <c r="I4" s="564"/>
      <c r="J4" s="564"/>
      <c r="K4" s="564"/>
      <c r="L4" s="564"/>
      <c r="M4" s="564"/>
      <c r="N4" s="565"/>
    </row>
    <row r="5" spans="1:15" ht="22.5" hidden="1" customHeight="1" thickBot="1" x14ac:dyDescent="0.3">
      <c r="A5" s="549"/>
      <c r="B5" s="550"/>
      <c r="C5" s="555"/>
      <c r="D5" s="556"/>
      <c r="E5" s="556"/>
      <c r="F5" s="556"/>
      <c r="G5" s="566" t="s">
        <v>767</v>
      </c>
      <c r="H5" s="567"/>
      <c r="I5" s="568" t="e">
        <f>+F69</f>
        <v>#REF!</v>
      </c>
      <c r="J5" s="569"/>
      <c r="K5" s="569"/>
      <c r="L5" s="570"/>
      <c r="M5" s="571" t="s">
        <v>799</v>
      </c>
      <c r="N5" s="572"/>
      <c r="O5" s="158" t="e">
        <f>I5/2</f>
        <v>#REF!</v>
      </c>
    </row>
    <row r="6" spans="1:15" ht="22.5" hidden="1" customHeight="1" thickBot="1" x14ac:dyDescent="0.3">
      <c r="A6" s="549"/>
      <c r="B6" s="550"/>
      <c r="C6" s="555"/>
      <c r="D6" s="556"/>
      <c r="E6" s="556"/>
      <c r="F6" s="557"/>
      <c r="G6" s="566" t="s">
        <v>768</v>
      </c>
      <c r="H6" s="567"/>
      <c r="I6" s="573">
        <v>0</v>
      </c>
      <c r="J6" s="574"/>
      <c r="K6" s="574"/>
      <c r="L6" s="575"/>
      <c r="M6" s="576" t="e">
        <f>N69/F69</f>
        <v>#REF!</v>
      </c>
      <c r="N6" s="577"/>
    </row>
    <row r="7" spans="1:15" ht="22.5" hidden="1" customHeight="1" thickBot="1" x14ac:dyDescent="0.3">
      <c r="A7" s="542"/>
      <c r="B7" s="551"/>
      <c r="C7" s="558"/>
      <c r="D7" s="559"/>
      <c r="E7" s="559"/>
      <c r="F7" s="560"/>
      <c r="G7" s="580" t="s">
        <v>769</v>
      </c>
      <c r="H7" s="581"/>
      <c r="I7" s="582" t="e">
        <f>+I5+I6</f>
        <v>#REF!</v>
      </c>
      <c r="J7" s="583"/>
      <c r="K7" s="583"/>
      <c r="L7" s="584"/>
      <c r="M7" s="578"/>
      <c r="N7" s="579"/>
    </row>
    <row r="8" spans="1:15" ht="12.75" thickBot="1" x14ac:dyDescent="0.3">
      <c r="A8" s="524"/>
      <c r="B8" s="525"/>
      <c r="C8" s="525"/>
      <c r="D8" s="525"/>
      <c r="E8" s="525"/>
      <c r="F8" s="525"/>
      <c r="G8" s="525"/>
      <c r="H8" s="525"/>
      <c r="I8" s="525"/>
      <c r="J8" s="525"/>
      <c r="K8" s="525"/>
      <c r="L8" s="525"/>
      <c r="M8" s="525"/>
      <c r="N8" s="526"/>
    </row>
    <row r="9" spans="1:15" ht="35.25" customHeight="1" x14ac:dyDescent="0.25">
      <c r="A9" s="527" t="s">
        <v>647</v>
      </c>
      <c r="B9" s="529" t="s">
        <v>498</v>
      </c>
      <c r="C9" s="531" t="s">
        <v>760</v>
      </c>
      <c r="D9" s="532"/>
      <c r="E9" s="532"/>
      <c r="F9" s="533"/>
      <c r="G9" s="534" t="s">
        <v>770</v>
      </c>
      <c r="H9" s="535"/>
      <c r="I9" s="536" t="s">
        <v>842</v>
      </c>
      <c r="J9" s="537"/>
      <c r="K9" s="536" t="s">
        <v>832</v>
      </c>
      <c r="L9" s="537"/>
      <c r="M9" s="536" t="s">
        <v>834</v>
      </c>
      <c r="N9" s="537"/>
    </row>
    <row r="10" spans="1:15" ht="22.5" customHeight="1" thickBot="1" x14ac:dyDescent="0.3">
      <c r="A10" s="528"/>
      <c r="B10" s="530"/>
      <c r="C10" s="159" t="s">
        <v>241</v>
      </c>
      <c r="D10" s="242" t="s">
        <v>772</v>
      </c>
      <c r="E10" s="160" t="s">
        <v>773</v>
      </c>
      <c r="F10" s="161" t="s">
        <v>649</v>
      </c>
      <c r="G10" s="253" t="s">
        <v>772</v>
      </c>
      <c r="H10" s="161" t="s">
        <v>649</v>
      </c>
      <c r="I10" s="253" t="s">
        <v>772</v>
      </c>
      <c r="J10" s="161" t="s">
        <v>649</v>
      </c>
      <c r="K10" s="253" t="s">
        <v>772</v>
      </c>
      <c r="L10" s="161" t="s">
        <v>649</v>
      </c>
      <c r="M10" s="253" t="s">
        <v>772</v>
      </c>
      <c r="N10" s="161" t="s">
        <v>649</v>
      </c>
    </row>
    <row r="11" spans="1:15" ht="12.75" thickBot="1" x14ac:dyDescent="0.3">
      <c r="A11" s="313"/>
      <c r="B11" s="314"/>
      <c r="C11" s="314"/>
      <c r="D11" s="314"/>
      <c r="E11" s="314"/>
      <c r="F11" s="314"/>
      <c r="G11" s="314"/>
      <c r="H11" s="314"/>
      <c r="I11" s="314"/>
      <c r="J11" s="314"/>
      <c r="K11" s="314"/>
      <c r="L11" s="314"/>
      <c r="M11" s="314"/>
      <c r="N11" s="315"/>
    </row>
    <row r="12" spans="1:15" s="170" customFormat="1" ht="20.100000000000001" customHeight="1" x14ac:dyDescent="0.25">
      <c r="A12" s="162">
        <v>1</v>
      </c>
      <c r="B12" s="163" t="s">
        <v>53</v>
      </c>
      <c r="C12" s="164"/>
      <c r="D12" s="243"/>
      <c r="E12" s="165" t="s">
        <v>650</v>
      </c>
      <c r="F12" s="166"/>
      <c r="G12" s="254"/>
      <c r="H12" s="167"/>
      <c r="I12" s="265"/>
      <c r="J12" s="168"/>
      <c r="K12" s="265"/>
      <c r="L12" s="168"/>
      <c r="M12" s="254"/>
      <c r="N12" s="169"/>
    </row>
    <row r="13" spans="1:15" s="176" customFormat="1" ht="20.100000000000001" customHeight="1" x14ac:dyDescent="0.2">
      <c r="A13" s="171">
        <v>1.01</v>
      </c>
      <c r="B13" s="172" t="s">
        <v>651</v>
      </c>
      <c r="C13" s="173" t="s">
        <v>216</v>
      </c>
      <c r="D13" s="244">
        <v>46.44</v>
      </c>
      <c r="E13" s="174">
        <v>2800</v>
      </c>
      <c r="F13" s="175">
        <f>ROUND(D13*E13,0)</f>
        <v>130032</v>
      </c>
      <c r="G13" s="255"/>
      <c r="H13" s="175">
        <f>ROUND(G13*E13,0)</f>
        <v>0</v>
      </c>
      <c r="I13" s="321">
        <v>46.44</v>
      </c>
      <c r="J13" s="175">
        <f>ROUND(E13*I13,0)</f>
        <v>130032</v>
      </c>
      <c r="K13" s="266">
        <v>0</v>
      </c>
      <c r="L13" s="175">
        <f>ROUND(E13*K13,0)</f>
        <v>0</v>
      </c>
      <c r="M13" s="266">
        <f>+I13-D13</f>
        <v>0</v>
      </c>
      <c r="N13" s="175">
        <f>ROUND(E13*M13,0)</f>
        <v>0</v>
      </c>
      <c r="O13" s="176">
        <v>100</v>
      </c>
    </row>
    <row r="14" spans="1:15" s="176" customFormat="1" ht="20.100000000000001" customHeight="1" x14ac:dyDescent="0.2">
      <c r="A14" s="171">
        <v>1.21</v>
      </c>
      <c r="B14" s="177" t="s">
        <v>652</v>
      </c>
      <c r="C14" s="173" t="s">
        <v>216</v>
      </c>
      <c r="D14" s="244">
        <v>54.75</v>
      </c>
      <c r="E14" s="174">
        <v>3600</v>
      </c>
      <c r="F14" s="175">
        <f>ROUND(D14*E14,0)</f>
        <v>197100</v>
      </c>
      <c r="G14" s="255"/>
      <c r="H14" s="175">
        <f t="shared" ref="H14:H16" si="0">ROUND(G14*E14,0)</f>
        <v>0</v>
      </c>
      <c r="I14" s="321">
        <v>54.75</v>
      </c>
      <c r="J14" s="175">
        <f t="shared" ref="J14:J16" si="1">ROUND(E14*I14,0)</f>
        <v>197100</v>
      </c>
      <c r="K14" s="266">
        <v>0</v>
      </c>
      <c r="L14" s="175">
        <f t="shared" ref="L14:L16" si="2">ROUND(E14*K14,0)</f>
        <v>0</v>
      </c>
      <c r="M14" s="266">
        <f t="shared" ref="M14:M53" si="3">+I14-D14</f>
        <v>0</v>
      </c>
      <c r="N14" s="175">
        <f t="shared" ref="N14:N16" si="4">ROUND(E14*M14,0)</f>
        <v>0</v>
      </c>
      <c r="O14" s="176">
        <v>84</v>
      </c>
    </row>
    <row r="15" spans="1:15" s="176" customFormat="1" ht="20.100000000000001" customHeight="1" x14ac:dyDescent="0.2">
      <c r="A15" s="171">
        <v>1.23</v>
      </c>
      <c r="B15" s="177" t="s">
        <v>653</v>
      </c>
      <c r="C15" s="173" t="s">
        <v>216</v>
      </c>
      <c r="D15" s="244">
        <v>18.149999999999999</v>
      </c>
      <c r="E15" s="174">
        <v>19700</v>
      </c>
      <c r="F15" s="175">
        <f>ROUND(D15*E15,0)</f>
        <v>357555</v>
      </c>
      <c r="G15" s="255"/>
      <c r="H15" s="175">
        <f t="shared" si="0"/>
        <v>0</v>
      </c>
      <c r="I15" s="321">
        <v>18.149999999999999</v>
      </c>
      <c r="J15" s="175">
        <f t="shared" si="1"/>
        <v>357555</v>
      </c>
      <c r="K15" s="266">
        <v>0</v>
      </c>
      <c r="L15" s="175">
        <f t="shared" si="2"/>
        <v>0</v>
      </c>
      <c r="M15" s="266">
        <f t="shared" si="3"/>
        <v>0</v>
      </c>
      <c r="N15" s="175">
        <f t="shared" si="4"/>
        <v>0</v>
      </c>
    </row>
    <row r="16" spans="1:15" s="176" customFormat="1" ht="20.100000000000001" customHeight="1" x14ac:dyDescent="0.2">
      <c r="A16" s="171">
        <v>1.04</v>
      </c>
      <c r="B16" s="177" t="s">
        <v>654</v>
      </c>
      <c r="C16" s="173" t="s">
        <v>216</v>
      </c>
      <c r="D16" s="244">
        <v>18.149999999999999</v>
      </c>
      <c r="E16" s="174">
        <v>67400</v>
      </c>
      <c r="F16" s="175">
        <f>ROUND(D16*E16,0)</f>
        <v>1223310</v>
      </c>
      <c r="G16" s="255"/>
      <c r="H16" s="175">
        <f t="shared" si="0"/>
        <v>0</v>
      </c>
      <c r="I16" s="321">
        <v>18.149999999999999</v>
      </c>
      <c r="J16" s="175">
        <f t="shared" si="1"/>
        <v>1223310</v>
      </c>
      <c r="K16" s="266">
        <v>0</v>
      </c>
      <c r="L16" s="175">
        <f t="shared" si="2"/>
        <v>0</v>
      </c>
      <c r="M16" s="266">
        <f t="shared" si="3"/>
        <v>0</v>
      </c>
      <c r="N16" s="175">
        <f t="shared" si="4"/>
        <v>0</v>
      </c>
    </row>
    <row r="17" spans="1:17" s="181" customFormat="1" ht="20.100000000000001" customHeight="1" x14ac:dyDescent="0.25">
      <c r="A17" s="178"/>
      <c r="B17" s="179" t="s">
        <v>655</v>
      </c>
      <c r="C17" s="186" t="s">
        <v>650</v>
      </c>
      <c r="D17" s="188" t="s">
        <v>650</v>
      </c>
      <c r="E17" s="179"/>
      <c r="F17" s="180">
        <f>ROUND((SUM(F13:F16)),0)</f>
        <v>1907997</v>
      </c>
      <c r="G17" s="190"/>
      <c r="H17" s="180">
        <f>SUM(H13:H16)</f>
        <v>0</v>
      </c>
      <c r="I17" s="266" t="str">
        <f>+BALANCE!G10</f>
        <v xml:space="preserve"> </v>
      </c>
      <c r="J17" s="180">
        <f>SUM(J13:J16)</f>
        <v>1907997</v>
      </c>
      <c r="K17" s="266"/>
      <c r="L17" s="180">
        <f>SUM(L13:L16)</f>
        <v>0</v>
      </c>
      <c r="M17" s="266"/>
      <c r="N17" s="180">
        <f>SUM(N13:N16)</f>
        <v>0</v>
      </c>
    </row>
    <row r="18" spans="1:17" s="181" customFormat="1" ht="20.100000000000001" customHeight="1" x14ac:dyDescent="0.25">
      <c r="A18" s="178">
        <v>2</v>
      </c>
      <c r="B18" s="179" t="s">
        <v>656</v>
      </c>
      <c r="C18" s="186"/>
      <c r="D18" s="188"/>
      <c r="E18" s="179"/>
      <c r="F18" s="182"/>
      <c r="G18" s="190"/>
      <c r="H18" s="182"/>
      <c r="I18" s="266"/>
      <c r="J18" s="182"/>
      <c r="K18" s="266"/>
      <c r="L18" s="182"/>
      <c r="M18" s="266"/>
      <c r="N18" s="182"/>
    </row>
    <row r="19" spans="1:17" ht="24" customHeight="1" x14ac:dyDescent="0.25">
      <c r="A19" s="171">
        <v>2.0099999999999998</v>
      </c>
      <c r="B19" s="240" t="s">
        <v>657</v>
      </c>
      <c r="C19" s="241" t="s">
        <v>172</v>
      </c>
      <c r="D19" s="195">
        <v>41.26</v>
      </c>
      <c r="E19" s="240">
        <v>27000</v>
      </c>
      <c r="F19" s="175">
        <f t="shared" ref="F19:F20" si="5">ROUND(D19*E19,0)</f>
        <v>1114020</v>
      </c>
      <c r="G19" s="255"/>
      <c r="H19" s="175">
        <f t="shared" ref="H19:H21" si="6">ROUND(G19*E19,0)</f>
        <v>0</v>
      </c>
      <c r="I19" s="322">
        <v>41.26</v>
      </c>
      <c r="J19" s="175">
        <f t="shared" ref="J19:J21" si="7">ROUND(E19*I19,0)</f>
        <v>1114020</v>
      </c>
      <c r="K19" s="266">
        <v>0</v>
      </c>
      <c r="L19" s="175">
        <f t="shared" ref="L19:L21" si="8">ROUND(E19*K19,0)</f>
        <v>0</v>
      </c>
      <c r="M19" s="266">
        <f t="shared" si="3"/>
        <v>0</v>
      </c>
      <c r="N19" s="175">
        <f t="shared" ref="N19:N21" si="9">ROUND(E19*M19,0)</f>
        <v>0</v>
      </c>
    </row>
    <row r="20" spans="1:17" ht="20.100000000000001" customHeight="1" x14ac:dyDescent="0.25">
      <c r="A20" s="171">
        <v>2.02</v>
      </c>
      <c r="B20" s="240" t="s">
        <v>658</v>
      </c>
      <c r="C20" s="241" t="s">
        <v>172</v>
      </c>
      <c r="D20" s="195">
        <v>15</v>
      </c>
      <c r="E20" s="240">
        <v>29600</v>
      </c>
      <c r="F20" s="175">
        <f t="shared" si="5"/>
        <v>444000</v>
      </c>
      <c r="G20" s="255"/>
      <c r="H20" s="175">
        <f t="shared" si="6"/>
        <v>0</v>
      </c>
      <c r="I20" s="322">
        <v>15</v>
      </c>
      <c r="J20" s="175">
        <f t="shared" si="7"/>
        <v>444000</v>
      </c>
      <c r="K20" s="266">
        <v>0</v>
      </c>
      <c r="L20" s="175">
        <f t="shared" si="8"/>
        <v>0</v>
      </c>
      <c r="M20" s="266">
        <f t="shared" si="3"/>
        <v>0</v>
      </c>
      <c r="N20" s="175">
        <f t="shared" si="9"/>
        <v>0</v>
      </c>
    </row>
    <row r="21" spans="1:17" ht="20.100000000000001" customHeight="1" x14ac:dyDescent="0.25">
      <c r="A21" s="171">
        <v>2.0299999999999998</v>
      </c>
      <c r="B21" s="183" t="s">
        <v>659</v>
      </c>
      <c r="C21" s="184" t="s">
        <v>172</v>
      </c>
      <c r="D21" s="245">
        <v>62.56</v>
      </c>
      <c r="E21" s="174">
        <v>43000</v>
      </c>
      <c r="F21" s="175">
        <f>ROUND(D21*E21,0)</f>
        <v>2690080</v>
      </c>
      <c r="G21" s="255"/>
      <c r="H21" s="175">
        <f t="shared" si="6"/>
        <v>0</v>
      </c>
      <c r="I21" s="323">
        <v>62.56</v>
      </c>
      <c r="J21" s="175">
        <f t="shared" si="7"/>
        <v>2690080</v>
      </c>
      <c r="K21" s="266">
        <v>0</v>
      </c>
      <c r="L21" s="175">
        <f t="shared" si="8"/>
        <v>0</v>
      </c>
      <c r="M21" s="266">
        <f t="shared" si="3"/>
        <v>0</v>
      </c>
      <c r="N21" s="175">
        <f t="shared" si="9"/>
        <v>0</v>
      </c>
    </row>
    <row r="22" spans="1:17" s="181" customFormat="1" x14ac:dyDescent="0.25">
      <c r="A22" s="178"/>
      <c r="B22" s="179" t="s">
        <v>655</v>
      </c>
      <c r="C22" s="186" t="s">
        <v>650</v>
      </c>
      <c r="D22" s="188" t="s">
        <v>650</v>
      </c>
      <c r="E22" s="187"/>
      <c r="F22" s="180">
        <f>ROUND((SUM(F19:F21)),0)</f>
        <v>4248100</v>
      </c>
      <c r="G22" s="190"/>
      <c r="H22" s="180">
        <f>SUM(H19:H21)</f>
        <v>0</v>
      </c>
      <c r="I22" s="266" t="str">
        <f>+BALANCE!G15</f>
        <v xml:space="preserve"> </v>
      </c>
      <c r="J22" s="180">
        <f>SUM(J19:J21)</f>
        <v>4248100</v>
      </c>
      <c r="K22" s="266"/>
      <c r="L22" s="180">
        <f>SUM(L19:L21)</f>
        <v>0</v>
      </c>
      <c r="M22" s="266"/>
      <c r="N22" s="180">
        <f>SUM(N19:N21)</f>
        <v>0</v>
      </c>
    </row>
    <row r="23" spans="1:17" s="181" customFormat="1" ht="19.5" customHeight="1" x14ac:dyDescent="0.25">
      <c r="A23" s="178">
        <v>3</v>
      </c>
      <c r="B23" s="179" t="s">
        <v>660</v>
      </c>
      <c r="C23" s="186"/>
      <c r="D23" s="188"/>
      <c r="E23" s="187"/>
      <c r="F23" s="189"/>
      <c r="G23" s="190"/>
      <c r="H23" s="189"/>
      <c r="I23" s="266"/>
      <c r="J23" s="324"/>
      <c r="K23" s="266"/>
      <c r="L23" s="189"/>
      <c r="M23" s="266"/>
      <c r="N23" s="189"/>
    </row>
    <row r="24" spans="1:17" ht="17.25" customHeight="1" x14ac:dyDescent="0.2">
      <c r="A24" s="171">
        <v>3.01</v>
      </c>
      <c r="B24" s="177" t="s">
        <v>661</v>
      </c>
      <c r="C24" s="173" t="s">
        <v>241</v>
      </c>
      <c r="D24" s="244">
        <v>31</v>
      </c>
      <c r="E24" s="174">
        <v>331400</v>
      </c>
      <c r="F24" s="175">
        <f>ROUND(D24*E24,0)</f>
        <v>10273400</v>
      </c>
      <c r="G24" s="255"/>
      <c r="H24" s="175">
        <f t="shared" ref="H24:H26" si="10">ROUND(G24*E24,0)</f>
        <v>0</v>
      </c>
      <c r="I24" s="266">
        <v>16</v>
      </c>
      <c r="J24" s="175">
        <f t="shared" ref="J24:J26" si="11">ROUND(E24*I24,0)</f>
        <v>5302400</v>
      </c>
      <c r="K24" s="266">
        <v>0</v>
      </c>
      <c r="L24" s="175">
        <f t="shared" ref="L24:L26" si="12">ROUND(E24*K24,0)</f>
        <v>0</v>
      </c>
      <c r="M24" s="325">
        <f t="shared" si="3"/>
        <v>-15</v>
      </c>
      <c r="N24" s="175">
        <f t="shared" ref="N24:N26" si="13">ROUND(E24*M24,0)</f>
        <v>-4971000</v>
      </c>
    </row>
    <row r="25" spans="1:17" ht="27.75" customHeight="1" x14ac:dyDescent="0.2">
      <c r="A25" s="171">
        <v>3.02</v>
      </c>
      <c r="B25" s="177" t="s">
        <v>662</v>
      </c>
      <c r="C25" s="173" t="s">
        <v>241</v>
      </c>
      <c r="D25" s="244">
        <v>10</v>
      </c>
      <c r="E25" s="174">
        <v>84900</v>
      </c>
      <c r="F25" s="175">
        <f>ROUND(D25*E25,0)</f>
        <v>849000</v>
      </c>
      <c r="G25" s="255"/>
      <c r="H25" s="175">
        <f t="shared" si="10"/>
        <v>0</v>
      </c>
      <c r="I25" s="266">
        <v>33</v>
      </c>
      <c r="J25" s="175">
        <f t="shared" si="11"/>
        <v>2801700</v>
      </c>
      <c r="K25" s="266">
        <v>0</v>
      </c>
      <c r="L25" s="175">
        <f t="shared" si="12"/>
        <v>0</v>
      </c>
      <c r="M25" s="325">
        <f t="shared" si="3"/>
        <v>23</v>
      </c>
      <c r="N25" s="175">
        <f t="shared" si="13"/>
        <v>1952700</v>
      </c>
    </row>
    <row r="26" spans="1:17" ht="16.5" customHeight="1" x14ac:dyDescent="0.25">
      <c r="A26" s="171">
        <v>3.03</v>
      </c>
      <c r="B26" s="177" t="s">
        <v>663</v>
      </c>
      <c r="C26" s="185" t="s">
        <v>172</v>
      </c>
      <c r="D26" s="245">
        <v>9.3000000000000007</v>
      </c>
      <c r="E26" s="174">
        <v>581900</v>
      </c>
      <c r="F26" s="175">
        <f>ROUND(D26*E26,0)</f>
        <v>5411670</v>
      </c>
      <c r="G26" s="255"/>
      <c r="H26" s="175">
        <f t="shared" si="10"/>
        <v>0</v>
      </c>
      <c r="I26" s="266">
        <v>10.3</v>
      </c>
      <c r="J26" s="175">
        <f t="shared" si="11"/>
        <v>5993570</v>
      </c>
      <c r="K26" s="266">
        <v>0</v>
      </c>
      <c r="L26" s="175">
        <f t="shared" si="12"/>
        <v>0</v>
      </c>
      <c r="M26" s="325">
        <f t="shared" si="3"/>
        <v>1</v>
      </c>
      <c r="N26" s="175">
        <f t="shared" si="13"/>
        <v>581900</v>
      </c>
    </row>
    <row r="27" spans="1:17" s="181" customFormat="1" x14ac:dyDescent="0.25">
      <c r="A27" s="178"/>
      <c r="B27" s="186" t="s">
        <v>655</v>
      </c>
      <c r="C27" s="186" t="s">
        <v>650</v>
      </c>
      <c r="D27" s="188" t="s">
        <v>650</v>
      </c>
      <c r="E27" s="186"/>
      <c r="F27" s="180">
        <f>SUM(F24:F26)</f>
        <v>16534070</v>
      </c>
      <c r="G27" s="190"/>
      <c r="H27" s="180">
        <f>SUM(H24:H26)</f>
        <v>0</v>
      </c>
      <c r="I27" s="266" t="str">
        <f>+BALANCE!G20</f>
        <v xml:space="preserve"> </v>
      </c>
      <c r="J27" s="180">
        <f>SUM(J24:J26)</f>
        <v>14097670</v>
      </c>
      <c r="K27" s="266"/>
      <c r="L27" s="180">
        <f>SUM(L24:L26)</f>
        <v>0</v>
      </c>
      <c r="M27" s="266"/>
      <c r="N27" s="180">
        <f>SUM(N24:N26)</f>
        <v>-2436400</v>
      </c>
    </row>
    <row r="28" spans="1:17" s="181" customFormat="1" ht="26.25" customHeight="1" x14ac:dyDescent="0.25">
      <c r="A28" s="178">
        <v>4</v>
      </c>
      <c r="B28" s="179" t="s">
        <v>664</v>
      </c>
      <c r="C28" s="186"/>
      <c r="D28" s="188"/>
      <c r="E28" s="187"/>
      <c r="F28" s="189"/>
      <c r="G28" s="190"/>
      <c r="H28" s="189"/>
      <c r="I28" s="266"/>
      <c r="J28" s="189"/>
      <c r="K28" s="266"/>
      <c r="L28" s="189"/>
      <c r="M28" s="266"/>
      <c r="N28" s="189"/>
    </row>
    <row r="29" spans="1:17" s="181" customFormat="1" ht="20.100000000000001" customHeight="1" x14ac:dyDescent="0.25">
      <c r="A29" s="171">
        <v>4.01</v>
      </c>
      <c r="B29" s="177" t="s">
        <v>665</v>
      </c>
      <c r="C29" s="184" t="s">
        <v>241</v>
      </c>
      <c r="D29" s="245">
        <v>7</v>
      </c>
      <c r="E29" s="174">
        <v>819400</v>
      </c>
      <c r="F29" s="175">
        <f t="shared" ref="F29:F49" si="14">ROUND(D29*E29,0)</f>
        <v>5735800</v>
      </c>
      <c r="G29" s="190"/>
      <c r="H29" s="175">
        <f t="shared" ref="H29:H49" si="15">ROUND(G29*E29,0)</f>
        <v>0</v>
      </c>
      <c r="I29" s="266">
        <v>6</v>
      </c>
      <c r="J29" s="175">
        <f t="shared" ref="J29:J49" si="16">ROUND(E29*I29,0)</f>
        <v>4916400</v>
      </c>
      <c r="K29" s="266">
        <v>0</v>
      </c>
      <c r="L29" s="175">
        <f t="shared" ref="L29:L49" si="17">ROUND(E29*K29,0)</f>
        <v>0</v>
      </c>
      <c r="M29" s="325">
        <f t="shared" si="3"/>
        <v>-1</v>
      </c>
      <c r="N29" s="175">
        <f t="shared" ref="N29:N49" si="18">ROUND(E29*M29,0)</f>
        <v>-819400</v>
      </c>
      <c r="Q29" s="181">
        <f>46-1-4+3</f>
        <v>44</v>
      </c>
    </row>
    <row r="30" spans="1:17" s="181" customFormat="1" ht="20.100000000000001" customHeight="1" x14ac:dyDescent="0.25">
      <c r="A30" s="171">
        <v>4.0199999999999996</v>
      </c>
      <c r="B30" s="177" t="s">
        <v>666</v>
      </c>
      <c r="C30" s="184" t="s">
        <v>241</v>
      </c>
      <c r="D30" s="245">
        <v>3</v>
      </c>
      <c r="E30" s="174">
        <v>432900</v>
      </c>
      <c r="F30" s="175">
        <f t="shared" si="14"/>
        <v>1298700</v>
      </c>
      <c r="G30" s="190"/>
      <c r="H30" s="175">
        <f t="shared" si="15"/>
        <v>0</v>
      </c>
      <c r="I30" s="266">
        <v>3</v>
      </c>
      <c r="J30" s="175">
        <f t="shared" si="16"/>
        <v>1298700</v>
      </c>
      <c r="K30" s="266">
        <v>0</v>
      </c>
      <c r="L30" s="175">
        <f t="shared" si="17"/>
        <v>0</v>
      </c>
      <c r="M30" s="266">
        <f t="shared" si="3"/>
        <v>0</v>
      </c>
      <c r="N30" s="175">
        <f t="shared" si="18"/>
        <v>0</v>
      </c>
    </row>
    <row r="31" spans="1:17" s="181" customFormat="1" ht="20.100000000000001" customHeight="1" x14ac:dyDescent="0.25">
      <c r="A31" s="171">
        <v>4.03</v>
      </c>
      <c r="B31" s="177" t="s">
        <v>667</v>
      </c>
      <c r="C31" s="184" t="s">
        <v>241</v>
      </c>
      <c r="D31" s="245">
        <v>15</v>
      </c>
      <c r="E31" s="174">
        <v>618400</v>
      </c>
      <c r="F31" s="175">
        <f t="shared" si="14"/>
        <v>9276000</v>
      </c>
      <c r="G31" s="190"/>
      <c r="H31" s="175">
        <f t="shared" si="15"/>
        <v>0</v>
      </c>
      <c r="I31" s="266">
        <v>16</v>
      </c>
      <c r="J31" s="175">
        <f t="shared" si="16"/>
        <v>9894400</v>
      </c>
      <c r="K31" s="266">
        <v>0</v>
      </c>
      <c r="L31" s="175">
        <f t="shared" si="17"/>
        <v>0</v>
      </c>
      <c r="M31" s="325">
        <f t="shared" si="3"/>
        <v>1</v>
      </c>
      <c r="N31" s="175">
        <f t="shared" si="18"/>
        <v>618400</v>
      </c>
    </row>
    <row r="32" spans="1:17" s="181" customFormat="1" ht="20.100000000000001" customHeight="1" x14ac:dyDescent="0.25">
      <c r="A32" s="171">
        <v>4.04</v>
      </c>
      <c r="B32" s="177" t="s">
        <v>668</v>
      </c>
      <c r="C32" s="184" t="s">
        <v>241</v>
      </c>
      <c r="D32" s="245">
        <v>17</v>
      </c>
      <c r="E32" s="174">
        <v>1584700</v>
      </c>
      <c r="F32" s="175">
        <f t="shared" si="14"/>
        <v>26939900</v>
      </c>
      <c r="G32" s="190"/>
      <c r="H32" s="175">
        <f t="shared" si="15"/>
        <v>0</v>
      </c>
      <c r="I32" s="266">
        <v>17</v>
      </c>
      <c r="J32" s="175">
        <f t="shared" si="16"/>
        <v>26939900</v>
      </c>
      <c r="K32" s="266">
        <v>0</v>
      </c>
      <c r="L32" s="175">
        <f t="shared" si="17"/>
        <v>0</v>
      </c>
      <c r="M32" s="266">
        <f t="shared" si="3"/>
        <v>0</v>
      </c>
      <c r="N32" s="175">
        <f t="shared" si="18"/>
        <v>0</v>
      </c>
    </row>
    <row r="33" spans="1:14" s="181" customFormat="1" ht="20.100000000000001" customHeight="1" x14ac:dyDescent="0.25">
      <c r="A33" s="171">
        <v>4.05</v>
      </c>
      <c r="B33" s="177" t="s">
        <v>669</v>
      </c>
      <c r="C33" s="184" t="s">
        <v>241</v>
      </c>
      <c r="D33" s="245">
        <v>2</v>
      </c>
      <c r="E33" s="174">
        <v>2319100</v>
      </c>
      <c r="F33" s="175">
        <f t="shared" si="14"/>
        <v>4638200</v>
      </c>
      <c r="G33" s="190"/>
      <c r="H33" s="175">
        <f t="shared" si="15"/>
        <v>0</v>
      </c>
      <c r="I33" s="266">
        <v>5</v>
      </c>
      <c r="J33" s="175">
        <f t="shared" si="16"/>
        <v>11595500</v>
      </c>
      <c r="K33" s="266">
        <v>0</v>
      </c>
      <c r="L33" s="175">
        <f t="shared" si="17"/>
        <v>0</v>
      </c>
      <c r="M33" s="325">
        <f t="shared" si="3"/>
        <v>3</v>
      </c>
      <c r="N33" s="175">
        <f t="shared" si="18"/>
        <v>6957300</v>
      </c>
    </row>
    <row r="34" spans="1:14" s="181" customFormat="1" ht="20.100000000000001" customHeight="1" x14ac:dyDescent="0.25">
      <c r="A34" s="171">
        <v>4.0599999999999996</v>
      </c>
      <c r="B34" s="177" t="s">
        <v>670</v>
      </c>
      <c r="C34" s="184" t="s">
        <v>241</v>
      </c>
      <c r="D34" s="245">
        <v>1</v>
      </c>
      <c r="E34" s="174">
        <v>4545500</v>
      </c>
      <c r="F34" s="175">
        <f t="shared" si="14"/>
        <v>4545500</v>
      </c>
      <c r="G34" s="190"/>
      <c r="H34" s="175">
        <f t="shared" si="15"/>
        <v>0</v>
      </c>
      <c r="I34" s="266">
        <v>1</v>
      </c>
      <c r="J34" s="175">
        <f t="shared" si="16"/>
        <v>4545500</v>
      </c>
      <c r="K34" s="266">
        <v>0</v>
      </c>
      <c r="L34" s="175">
        <f t="shared" si="17"/>
        <v>0</v>
      </c>
      <c r="M34" s="266">
        <f t="shared" si="3"/>
        <v>0</v>
      </c>
      <c r="N34" s="175">
        <f t="shared" si="18"/>
        <v>0</v>
      </c>
    </row>
    <row r="35" spans="1:14" s="181" customFormat="1" ht="20.100000000000001" customHeight="1" x14ac:dyDescent="0.25">
      <c r="A35" s="171">
        <v>4.07</v>
      </c>
      <c r="B35" s="177" t="s">
        <v>671</v>
      </c>
      <c r="C35" s="184" t="s">
        <v>241</v>
      </c>
      <c r="D35" s="245">
        <v>1</v>
      </c>
      <c r="E35" s="174">
        <v>5411300</v>
      </c>
      <c r="F35" s="175">
        <f t="shared" si="14"/>
        <v>5411300</v>
      </c>
      <c r="G35" s="190"/>
      <c r="H35" s="175">
        <f t="shared" si="15"/>
        <v>0</v>
      </c>
      <c r="I35" s="266">
        <v>1</v>
      </c>
      <c r="J35" s="175">
        <f t="shared" si="16"/>
        <v>5411300</v>
      </c>
      <c r="K35" s="266">
        <v>0</v>
      </c>
      <c r="L35" s="175">
        <f t="shared" si="17"/>
        <v>0</v>
      </c>
      <c r="M35" s="266">
        <f t="shared" si="3"/>
        <v>0</v>
      </c>
      <c r="N35" s="175">
        <f t="shared" si="18"/>
        <v>0</v>
      </c>
    </row>
    <row r="36" spans="1:14" s="181" customFormat="1" ht="20.100000000000001" customHeight="1" x14ac:dyDescent="0.25">
      <c r="A36" s="171">
        <v>4.08</v>
      </c>
      <c r="B36" s="177" t="s">
        <v>672</v>
      </c>
      <c r="C36" s="184" t="s">
        <v>241</v>
      </c>
      <c r="D36" s="245">
        <v>30</v>
      </c>
      <c r="E36" s="174">
        <v>44700</v>
      </c>
      <c r="F36" s="175">
        <f t="shared" si="14"/>
        <v>1341000</v>
      </c>
      <c r="G36" s="190"/>
      <c r="H36" s="175">
        <f t="shared" si="15"/>
        <v>0</v>
      </c>
      <c r="I36" s="266">
        <v>32</v>
      </c>
      <c r="J36" s="175">
        <f t="shared" si="16"/>
        <v>1430400</v>
      </c>
      <c r="K36" s="266">
        <v>0</v>
      </c>
      <c r="L36" s="175">
        <f t="shared" si="17"/>
        <v>0</v>
      </c>
      <c r="M36" s="325">
        <f t="shared" si="3"/>
        <v>2</v>
      </c>
      <c r="N36" s="175">
        <f t="shared" si="18"/>
        <v>89400</v>
      </c>
    </row>
    <row r="37" spans="1:14" s="181" customFormat="1" ht="20.100000000000001" customHeight="1" x14ac:dyDescent="0.25">
      <c r="A37" s="171">
        <v>4.09</v>
      </c>
      <c r="B37" s="177" t="s">
        <v>673</v>
      </c>
      <c r="C37" s="184" t="s">
        <v>241</v>
      </c>
      <c r="D37" s="245">
        <v>6</v>
      </c>
      <c r="E37" s="174">
        <v>26100</v>
      </c>
      <c r="F37" s="175">
        <f t="shared" si="14"/>
        <v>156600</v>
      </c>
      <c r="G37" s="190"/>
      <c r="H37" s="175">
        <f t="shared" si="15"/>
        <v>0</v>
      </c>
      <c r="I37" s="266">
        <v>6</v>
      </c>
      <c r="J37" s="175">
        <f t="shared" si="16"/>
        <v>156600</v>
      </c>
      <c r="K37" s="266">
        <v>0</v>
      </c>
      <c r="L37" s="175">
        <f t="shared" si="17"/>
        <v>0</v>
      </c>
      <c r="M37" s="266">
        <f t="shared" si="3"/>
        <v>0</v>
      </c>
      <c r="N37" s="175">
        <f t="shared" si="18"/>
        <v>0</v>
      </c>
    </row>
    <row r="38" spans="1:14" s="181" customFormat="1" ht="20.100000000000001" customHeight="1" x14ac:dyDescent="0.25">
      <c r="A38" s="171">
        <v>4.0999999999999996</v>
      </c>
      <c r="B38" s="177" t="s">
        <v>674</v>
      </c>
      <c r="C38" s="184" t="s">
        <v>241</v>
      </c>
      <c r="D38" s="245">
        <v>14</v>
      </c>
      <c r="E38" s="174">
        <v>72600</v>
      </c>
      <c r="F38" s="175">
        <f t="shared" si="14"/>
        <v>1016400</v>
      </c>
      <c r="G38" s="190"/>
      <c r="H38" s="175">
        <f t="shared" si="15"/>
        <v>0</v>
      </c>
      <c r="I38" s="266">
        <v>12</v>
      </c>
      <c r="J38" s="175">
        <f t="shared" si="16"/>
        <v>871200</v>
      </c>
      <c r="K38" s="266">
        <v>0</v>
      </c>
      <c r="L38" s="175">
        <f t="shared" si="17"/>
        <v>0</v>
      </c>
      <c r="M38" s="325">
        <f t="shared" si="3"/>
        <v>-2</v>
      </c>
      <c r="N38" s="175">
        <f t="shared" si="18"/>
        <v>-145200</v>
      </c>
    </row>
    <row r="39" spans="1:14" s="181" customFormat="1" ht="20.100000000000001" customHeight="1" x14ac:dyDescent="0.25">
      <c r="A39" s="171">
        <v>4.1100000000000003</v>
      </c>
      <c r="B39" s="177" t="s">
        <v>675</v>
      </c>
      <c r="C39" s="184" t="s">
        <v>241</v>
      </c>
      <c r="D39" s="245">
        <v>34</v>
      </c>
      <c r="E39" s="174">
        <v>186500</v>
      </c>
      <c r="F39" s="175">
        <f t="shared" si="14"/>
        <v>6341000</v>
      </c>
      <c r="G39" s="190"/>
      <c r="H39" s="175">
        <f t="shared" si="15"/>
        <v>0</v>
      </c>
      <c r="I39" s="266">
        <f>+I32*2</f>
        <v>34</v>
      </c>
      <c r="J39" s="175">
        <f t="shared" si="16"/>
        <v>6341000</v>
      </c>
      <c r="K39" s="266">
        <v>0</v>
      </c>
      <c r="L39" s="175">
        <f t="shared" si="17"/>
        <v>0</v>
      </c>
      <c r="M39" s="266">
        <f t="shared" si="3"/>
        <v>0</v>
      </c>
      <c r="N39" s="175">
        <f t="shared" si="18"/>
        <v>0</v>
      </c>
    </row>
    <row r="40" spans="1:14" s="181" customFormat="1" ht="20.100000000000001" customHeight="1" x14ac:dyDescent="0.25">
      <c r="A40" s="171">
        <v>4.12</v>
      </c>
      <c r="B40" s="177" t="s">
        <v>676</v>
      </c>
      <c r="C40" s="184" t="s">
        <v>241</v>
      </c>
      <c r="D40" s="245">
        <v>4</v>
      </c>
      <c r="E40" s="174">
        <v>342700</v>
      </c>
      <c r="F40" s="175">
        <f t="shared" si="14"/>
        <v>1370800</v>
      </c>
      <c r="G40" s="190"/>
      <c r="H40" s="175">
        <f t="shared" si="15"/>
        <v>0</v>
      </c>
      <c r="I40" s="266">
        <v>10</v>
      </c>
      <c r="J40" s="175">
        <f t="shared" si="16"/>
        <v>3427000</v>
      </c>
      <c r="K40" s="266">
        <v>0</v>
      </c>
      <c r="L40" s="175">
        <f t="shared" si="17"/>
        <v>0</v>
      </c>
      <c r="M40" s="325">
        <f t="shared" si="3"/>
        <v>6</v>
      </c>
      <c r="N40" s="175">
        <f t="shared" si="18"/>
        <v>2056200</v>
      </c>
    </row>
    <row r="41" spans="1:14" s="181" customFormat="1" ht="20.100000000000001" customHeight="1" x14ac:dyDescent="0.25">
      <c r="A41" s="171">
        <v>4.13</v>
      </c>
      <c r="B41" s="177" t="s">
        <v>677</v>
      </c>
      <c r="C41" s="184" t="s">
        <v>241</v>
      </c>
      <c r="D41" s="245">
        <v>2</v>
      </c>
      <c r="E41" s="174">
        <v>612200</v>
      </c>
      <c r="F41" s="175">
        <f t="shared" si="14"/>
        <v>1224400</v>
      </c>
      <c r="G41" s="190"/>
      <c r="H41" s="175">
        <f t="shared" si="15"/>
        <v>0</v>
      </c>
      <c r="I41" s="266">
        <v>2</v>
      </c>
      <c r="J41" s="175">
        <f t="shared" si="16"/>
        <v>1224400</v>
      </c>
      <c r="K41" s="266">
        <v>0</v>
      </c>
      <c r="L41" s="175">
        <f t="shared" si="17"/>
        <v>0</v>
      </c>
      <c r="M41" s="266">
        <f t="shared" si="3"/>
        <v>0</v>
      </c>
      <c r="N41" s="175">
        <f t="shared" si="18"/>
        <v>0</v>
      </c>
    </row>
    <row r="42" spans="1:14" s="181" customFormat="1" ht="20.100000000000001" customHeight="1" x14ac:dyDescent="0.25">
      <c r="A42" s="171">
        <v>4.1399999999999997</v>
      </c>
      <c r="B42" s="177" t="s">
        <v>678</v>
      </c>
      <c r="C42" s="184" t="s">
        <v>241</v>
      </c>
      <c r="D42" s="245">
        <v>2</v>
      </c>
      <c r="E42" s="174">
        <v>948800</v>
      </c>
      <c r="F42" s="175">
        <f t="shared" si="14"/>
        <v>1897600</v>
      </c>
      <c r="G42" s="190"/>
      <c r="H42" s="175">
        <f t="shared" si="15"/>
        <v>0</v>
      </c>
      <c r="I42" s="266">
        <v>2</v>
      </c>
      <c r="J42" s="175">
        <f t="shared" si="16"/>
        <v>1897600</v>
      </c>
      <c r="K42" s="266">
        <v>0</v>
      </c>
      <c r="L42" s="175">
        <f t="shared" si="17"/>
        <v>0</v>
      </c>
      <c r="M42" s="266">
        <f t="shared" si="3"/>
        <v>0</v>
      </c>
      <c r="N42" s="175">
        <f t="shared" si="18"/>
        <v>0</v>
      </c>
    </row>
    <row r="43" spans="1:14" s="181" customFormat="1" ht="20.100000000000001" customHeight="1" x14ac:dyDescent="0.25">
      <c r="A43" s="171">
        <v>4.1500000000000004</v>
      </c>
      <c r="B43" s="177" t="s">
        <v>679</v>
      </c>
      <c r="C43" s="184" t="s">
        <v>60</v>
      </c>
      <c r="D43" s="245">
        <v>14</v>
      </c>
      <c r="E43" s="174">
        <v>237100</v>
      </c>
      <c r="F43" s="175">
        <f t="shared" si="14"/>
        <v>3319400</v>
      </c>
      <c r="G43" s="190"/>
      <c r="H43" s="175">
        <f t="shared" si="15"/>
        <v>0</v>
      </c>
      <c r="I43" s="266">
        <f>+BALANCE!G36</f>
        <v>0</v>
      </c>
      <c r="J43" s="175">
        <f t="shared" si="16"/>
        <v>0</v>
      </c>
      <c r="K43" s="266">
        <v>0</v>
      </c>
      <c r="L43" s="175">
        <f t="shared" si="17"/>
        <v>0</v>
      </c>
      <c r="M43" s="325">
        <f t="shared" si="3"/>
        <v>-14</v>
      </c>
      <c r="N43" s="175">
        <f t="shared" si="18"/>
        <v>-3319400</v>
      </c>
    </row>
    <row r="44" spans="1:14" s="181" customFormat="1" ht="20.100000000000001" customHeight="1" x14ac:dyDescent="0.25">
      <c r="A44" s="171">
        <v>4.16</v>
      </c>
      <c r="B44" s="177" t="s">
        <v>680</v>
      </c>
      <c r="C44" s="184" t="s">
        <v>60</v>
      </c>
      <c r="D44" s="245">
        <v>6</v>
      </c>
      <c r="E44" s="174">
        <v>71000</v>
      </c>
      <c r="F44" s="175">
        <f t="shared" si="14"/>
        <v>426000</v>
      </c>
      <c r="G44" s="190"/>
      <c r="H44" s="175">
        <f t="shared" si="15"/>
        <v>0</v>
      </c>
      <c r="I44" s="266">
        <f>+BALANCE!G37</f>
        <v>0</v>
      </c>
      <c r="J44" s="175">
        <f t="shared" si="16"/>
        <v>0</v>
      </c>
      <c r="K44" s="266">
        <v>0</v>
      </c>
      <c r="L44" s="175">
        <f t="shared" si="17"/>
        <v>0</v>
      </c>
      <c r="M44" s="325">
        <f t="shared" si="3"/>
        <v>-6</v>
      </c>
      <c r="N44" s="175">
        <f t="shared" si="18"/>
        <v>-426000</v>
      </c>
    </row>
    <row r="45" spans="1:14" s="181" customFormat="1" ht="20.100000000000001" customHeight="1" x14ac:dyDescent="0.25">
      <c r="A45" s="171">
        <v>4.17</v>
      </c>
      <c r="B45" s="177" t="s">
        <v>681</v>
      </c>
      <c r="C45" s="184" t="s">
        <v>60</v>
      </c>
      <c r="D45" s="245">
        <v>30</v>
      </c>
      <c r="E45" s="174">
        <v>146800</v>
      </c>
      <c r="F45" s="175">
        <f t="shared" si="14"/>
        <v>4404000</v>
      </c>
      <c r="G45" s="190"/>
      <c r="H45" s="175">
        <f t="shared" si="15"/>
        <v>0</v>
      </c>
      <c r="I45" s="266">
        <f>+BALANCE!G38</f>
        <v>0</v>
      </c>
      <c r="J45" s="175">
        <f t="shared" si="16"/>
        <v>0</v>
      </c>
      <c r="K45" s="266">
        <v>0</v>
      </c>
      <c r="L45" s="175">
        <f t="shared" si="17"/>
        <v>0</v>
      </c>
      <c r="M45" s="325">
        <f t="shared" si="3"/>
        <v>-30</v>
      </c>
      <c r="N45" s="175">
        <f t="shared" si="18"/>
        <v>-4404000</v>
      </c>
    </row>
    <row r="46" spans="1:14" s="181" customFormat="1" ht="20.100000000000001" customHeight="1" x14ac:dyDescent="0.25">
      <c r="A46" s="171">
        <v>4.18</v>
      </c>
      <c r="B46" s="177" t="s">
        <v>682</v>
      </c>
      <c r="C46" s="184" t="s">
        <v>60</v>
      </c>
      <c r="D46" s="245">
        <v>34</v>
      </c>
      <c r="E46" s="174">
        <v>113900</v>
      </c>
      <c r="F46" s="175">
        <f t="shared" si="14"/>
        <v>3872600</v>
      </c>
      <c r="G46" s="190"/>
      <c r="H46" s="175">
        <f t="shared" si="15"/>
        <v>0</v>
      </c>
      <c r="I46" s="266">
        <f>+BALANCE!G39</f>
        <v>0</v>
      </c>
      <c r="J46" s="175">
        <f t="shared" si="16"/>
        <v>0</v>
      </c>
      <c r="K46" s="266">
        <v>0</v>
      </c>
      <c r="L46" s="175">
        <f t="shared" si="17"/>
        <v>0</v>
      </c>
      <c r="M46" s="325">
        <f t="shared" si="3"/>
        <v>-34</v>
      </c>
      <c r="N46" s="175">
        <f t="shared" si="18"/>
        <v>-3872600</v>
      </c>
    </row>
    <row r="47" spans="1:14" s="181" customFormat="1" ht="21.95" customHeight="1" x14ac:dyDescent="0.25">
      <c r="A47" s="171">
        <v>4.1900000000000004</v>
      </c>
      <c r="B47" s="177" t="s">
        <v>683</v>
      </c>
      <c r="C47" s="184" t="s">
        <v>60</v>
      </c>
      <c r="D47" s="245">
        <v>4</v>
      </c>
      <c r="E47" s="174">
        <v>183300</v>
      </c>
      <c r="F47" s="175">
        <f t="shared" si="14"/>
        <v>733200</v>
      </c>
      <c r="G47" s="190"/>
      <c r="H47" s="175">
        <f t="shared" si="15"/>
        <v>0</v>
      </c>
      <c r="I47" s="266">
        <f>+BALANCE!G40</f>
        <v>0</v>
      </c>
      <c r="J47" s="175">
        <f t="shared" si="16"/>
        <v>0</v>
      </c>
      <c r="K47" s="266">
        <v>0</v>
      </c>
      <c r="L47" s="175">
        <f t="shared" si="17"/>
        <v>0</v>
      </c>
      <c r="M47" s="325">
        <f t="shared" si="3"/>
        <v>-4</v>
      </c>
      <c r="N47" s="175">
        <f t="shared" si="18"/>
        <v>-733200</v>
      </c>
    </row>
    <row r="48" spans="1:14" s="181" customFormat="1" ht="21.95" customHeight="1" x14ac:dyDescent="0.25">
      <c r="A48" s="171">
        <v>4.2</v>
      </c>
      <c r="B48" s="177" t="s">
        <v>684</v>
      </c>
      <c r="C48" s="184" t="s">
        <v>60</v>
      </c>
      <c r="D48" s="245">
        <v>2</v>
      </c>
      <c r="E48" s="174">
        <v>278200</v>
      </c>
      <c r="F48" s="175">
        <f t="shared" si="14"/>
        <v>556400</v>
      </c>
      <c r="G48" s="190"/>
      <c r="H48" s="175">
        <f t="shared" si="15"/>
        <v>0</v>
      </c>
      <c r="I48" s="266">
        <f>+BALANCE!G41</f>
        <v>0</v>
      </c>
      <c r="J48" s="175">
        <f t="shared" si="16"/>
        <v>0</v>
      </c>
      <c r="K48" s="266">
        <v>0</v>
      </c>
      <c r="L48" s="175">
        <f t="shared" si="17"/>
        <v>0</v>
      </c>
      <c r="M48" s="325">
        <f t="shared" si="3"/>
        <v>-2</v>
      </c>
      <c r="N48" s="175">
        <f t="shared" si="18"/>
        <v>-556400</v>
      </c>
    </row>
    <row r="49" spans="1:14" s="181" customFormat="1" ht="21.95" customHeight="1" x14ac:dyDescent="0.25">
      <c r="A49" s="171">
        <v>4.21</v>
      </c>
      <c r="B49" s="177" t="s">
        <v>685</v>
      </c>
      <c r="C49" s="184" t="s">
        <v>60</v>
      </c>
      <c r="D49" s="245">
        <v>2</v>
      </c>
      <c r="E49" s="174">
        <v>381800</v>
      </c>
      <c r="F49" s="175">
        <f t="shared" si="14"/>
        <v>763600</v>
      </c>
      <c r="G49" s="190"/>
      <c r="H49" s="175">
        <f t="shared" si="15"/>
        <v>0</v>
      </c>
      <c r="I49" s="266">
        <f>+BALANCE!G42</f>
        <v>0</v>
      </c>
      <c r="J49" s="175">
        <f t="shared" si="16"/>
        <v>0</v>
      </c>
      <c r="K49" s="266">
        <v>0</v>
      </c>
      <c r="L49" s="175">
        <f t="shared" si="17"/>
        <v>0</v>
      </c>
      <c r="M49" s="325">
        <f t="shared" si="3"/>
        <v>-2</v>
      </c>
      <c r="N49" s="175">
        <f t="shared" si="18"/>
        <v>-763600</v>
      </c>
    </row>
    <row r="50" spans="1:14" s="181" customFormat="1" x14ac:dyDescent="0.25">
      <c r="A50" s="190"/>
      <c r="B50" s="179" t="s">
        <v>655</v>
      </c>
      <c r="C50" s="186" t="s">
        <v>650</v>
      </c>
      <c r="D50" s="188" t="s">
        <v>650</v>
      </c>
      <c r="E50" s="187"/>
      <c r="F50" s="180">
        <f>SUM(F29:F49)</f>
        <v>85268400</v>
      </c>
      <c r="G50" s="190"/>
      <c r="H50" s="180">
        <f>SUM(H29:H49)</f>
        <v>0</v>
      </c>
      <c r="I50" s="266" t="str">
        <f>+BALANCE!G43</f>
        <v xml:space="preserve"> </v>
      </c>
      <c r="J50" s="180">
        <f>SUM(J29:J49)</f>
        <v>79949900</v>
      </c>
      <c r="K50" s="266"/>
      <c r="L50" s="180">
        <f>SUM(L29:L49)</f>
        <v>0</v>
      </c>
      <c r="M50" s="266"/>
      <c r="N50" s="180">
        <f>SUM(N29:N49)</f>
        <v>-5318500</v>
      </c>
    </row>
    <row r="51" spans="1:14" s="181" customFormat="1" ht="18.75" customHeight="1" x14ac:dyDescent="0.25">
      <c r="A51" s="178">
        <v>5</v>
      </c>
      <c r="B51" s="179" t="s">
        <v>686</v>
      </c>
      <c r="C51" s="186"/>
      <c r="D51" s="188"/>
      <c r="E51" s="186"/>
      <c r="F51" s="189"/>
      <c r="G51" s="190"/>
      <c r="H51" s="191"/>
      <c r="I51" s="266"/>
      <c r="J51" s="189"/>
      <c r="K51" s="266"/>
      <c r="L51" s="189"/>
      <c r="M51" s="266"/>
      <c r="N51" s="189"/>
    </row>
    <row r="52" spans="1:14" ht="18.75" customHeight="1" x14ac:dyDescent="0.25">
      <c r="A52" s="171">
        <v>5.01</v>
      </c>
      <c r="B52" s="194" t="s">
        <v>687</v>
      </c>
      <c r="C52" s="241" t="s">
        <v>241</v>
      </c>
      <c r="D52" s="195">
        <v>46</v>
      </c>
      <c r="E52" s="174">
        <v>37200</v>
      </c>
      <c r="F52" s="175">
        <f>ROUND(D52*E52,0)</f>
        <v>1711200</v>
      </c>
      <c r="G52" s="255"/>
      <c r="H52" s="175">
        <f t="shared" ref="H52:H53" si="19">ROUND(G52*E52,0)</f>
        <v>0</v>
      </c>
      <c r="I52" s="266">
        <v>49</v>
      </c>
      <c r="J52" s="175">
        <f t="shared" ref="J52:J53" si="20">ROUND(E52*I52,0)</f>
        <v>1822800</v>
      </c>
      <c r="K52" s="266">
        <v>0</v>
      </c>
      <c r="L52" s="175">
        <f t="shared" ref="L52:L53" si="21">ROUND(E52*K52,0)</f>
        <v>0</v>
      </c>
      <c r="M52" s="325">
        <f t="shared" si="3"/>
        <v>3</v>
      </c>
      <c r="N52" s="175">
        <f t="shared" ref="N52:N53" si="22">ROUND(E52*M52,0)</f>
        <v>111600</v>
      </c>
    </row>
    <row r="53" spans="1:14" ht="16.5" customHeight="1" x14ac:dyDescent="0.2">
      <c r="A53" s="171">
        <v>5.0199999999999996</v>
      </c>
      <c r="B53" s="192" t="s">
        <v>688</v>
      </c>
      <c r="C53" s="173" t="s">
        <v>689</v>
      </c>
      <c r="D53" s="244">
        <v>1</v>
      </c>
      <c r="E53" s="174">
        <v>1499100</v>
      </c>
      <c r="F53" s="175">
        <f>ROUND(D53*E53,0)</f>
        <v>1499100</v>
      </c>
      <c r="G53" s="255"/>
      <c r="H53" s="175">
        <f t="shared" si="19"/>
        <v>0</v>
      </c>
      <c r="I53" s="266">
        <v>1</v>
      </c>
      <c r="J53" s="175">
        <f t="shared" si="20"/>
        <v>1499100</v>
      </c>
      <c r="K53" s="266">
        <v>0</v>
      </c>
      <c r="L53" s="175">
        <f t="shared" si="21"/>
        <v>0</v>
      </c>
      <c r="M53" s="266">
        <f t="shared" si="3"/>
        <v>0</v>
      </c>
      <c r="N53" s="175">
        <f t="shared" si="22"/>
        <v>0</v>
      </c>
    </row>
    <row r="54" spans="1:14" s="181" customFormat="1" ht="21.95" customHeight="1" x14ac:dyDescent="0.25">
      <c r="A54" s="178"/>
      <c r="B54" s="186"/>
      <c r="C54" s="186"/>
      <c r="D54" s="188"/>
      <c r="E54" s="186" t="s">
        <v>655</v>
      </c>
      <c r="F54" s="180">
        <f>SUM(F52:F53)</f>
        <v>3210300</v>
      </c>
      <c r="G54" s="190"/>
      <c r="H54" s="180">
        <f>SUM(H52:H53)</f>
        <v>0</v>
      </c>
      <c r="I54" s="267"/>
      <c r="J54" s="180">
        <f>SUM(J52:J53)</f>
        <v>3321900</v>
      </c>
      <c r="K54" s="267"/>
      <c r="L54" s="180">
        <f>SUM(L52:L53)</f>
        <v>0</v>
      </c>
      <c r="M54" s="266"/>
      <c r="N54" s="180">
        <f>SUM(N52:N53)</f>
        <v>111600</v>
      </c>
    </row>
    <row r="55" spans="1:14" s="181" customFormat="1" x14ac:dyDescent="0.25">
      <c r="A55" s="178">
        <v>6</v>
      </c>
      <c r="B55" s="193" t="s">
        <v>774</v>
      </c>
      <c r="C55" s="178"/>
      <c r="D55" s="188"/>
      <c r="E55" s="186"/>
      <c r="F55" s="189"/>
      <c r="G55" s="190"/>
      <c r="H55" s="191"/>
      <c r="I55" s="267"/>
      <c r="J55" s="189"/>
      <c r="K55" s="267"/>
      <c r="L55" s="189"/>
      <c r="M55" s="266"/>
      <c r="N55" s="189"/>
    </row>
    <row r="56" spans="1:14" s="181" customFormat="1" ht="12.75" x14ac:dyDescent="0.25">
      <c r="A56" s="171">
        <v>6.01</v>
      </c>
      <c r="B56" s="177" t="s">
        <v>835</v>
      </c>
      <c r="C56" s="171" t="s">
        <v>241</v>
      </c>
      <c r="D56" s="245"/>
      <c r="E56" s="320">
        <f>+'NP APU'!K396</f>
        <v>86900</v>
      </c>
      <c r="F56" s="175">
        <f>+E56*D56</f>
        <v>0</v>
      </c>
      <c r="G56" s="255">
        <v>0</v>
      </c>
      <c r="H56" s="175" t="e">
        <f>G56*#REF!</f>
        <v>#REF!</v>
      </c>
      <c r="I56" s="266">
        <v>6</v>
      </c>
      <c r="J56" s="175">
        <f>+E56*I56</f>
        <v>521400</v>
      </c>
      <c r="K56" s="266">
        <v>0</v>
      </c>
      <c r="L56" s="175">
        <f>K56*G56</f>
        <v>0</v>
      </c>
      <c r="M56" s="266">
        <f t="shared" ref="M56:M62" si="23">I56-G56</f>
        <v>6</v>
      </c>
      <c r="N56" s="175">
        <f>+M56*E56</f>
        <v>521400</v>
      </c>
    </row>
    <row r="57" spans="1:14" s="181" customFormat="1" ht="12.75" x14ac:dyDescent="0.25">
      <c r="A57" s="171">
        <v>6.02</v>
      </c>
      <c r="B57" s="177" t="s">
        <v>836</v>
      </c>
      <c r="C57" s="171" t="s">
        <v>241</v>
      </c>
      <c r="D57" s="245"/>
      <c r="E57" s="319">
        <f>+'NP APU'!K432</f>
        <v>40941</v>
      </c>
      <c r="F57" s="175">
        <f t="shared" ref="F57:F62" si="24">+E57*D57</f>
        <v>0</v>
      </c>
      <c r="G57" s="255">
        <v>0</v>
      </c>
      <c r="H57" s="175" t="e">
        <f>G57*#REF!</f>
        <v>#REF!</v>
      </c>
      <c r="I57" s="266">
        <v>3</v>
      </c>
      <c r="J57" s="175">
        <f t="shared" ref="J57:J62" si="25">+E57*I57</f>
        <v>122823</v>
      </c>
      <c r="K57" s="266">
        <v>0</v>
      </c>
      <c r="L57" s="175">
        <f t="shared" ref="L57:L62" si="26">K57*G57</f>
        <v>0</v>
      </c>
      <c r="M57" s="266">
        <f t="shared" si="23"/>
        <v>3</v>
      </c>
      <c r="N57" s="175">
        <f t="shared" ref="N57:N62" si="27">+M57*E57</f>
        <v>122823</v>
      </c>
    </row>
    <row r="58" spans="1:14" s="181" customFormat="1" ht="12.75" x14ac:dyDescent="0.25">
      <c r="A58" s="171">
        <v>6.03</v>
      </c>
      <c r="B58" s="177" t="s">
        <v>837</v>
      </c>
      <c r="C58" s="171" t="s">
        <v>241</v>
      </c>
      <c r="D58" s="245"/>
      <c r="E58" s="319">
        <f>+'NP APU'!K468</f>
        <v>65175</v>
      </c>
      <c r="F58" s="175">
        <f t="shared" si="24"/>
        <v>0</v>
      </c>
      <c r="G58" s="255">
        <v>0</v>
      </c>
      <c r="H58" s="175" t="e">
        <f>G58*#REF!</f>
        <v>#REF!</v>
      </c>
      <c r="I58" s="266">
        <v>16</v>
      </c>
      <c r="J58" s="175">
        <f t="shared" si="25"/>
        <v>1042800</v>
      </c>
      <c r="K58" s="266">
        <v>0</v>
      </c>
      <c r="L58" s="175">
        <f t="shared" si="26"/>
        <v>0</v>
      </c>
      <c r="M58" s="266">
        <f t="shared" si="23"/>
        <v>16</v>
      </c>
      <c r="N58" s="175">
        <f t="shared" si="27"/>
        <v>1042800</v>
      </c>
    </row>
    <row r="59" spans="1:14" s="181" customFormat="1" ht="12.75" x14ac:dyDescent="0.25">
      <c r="A59" s="171">
        <v>6.04</v>
      </c>
      <c r="B59" s="177" t="s">
        <v>838</v>
      </c>
      <c r="C59" s="171" t="s">
        <v>241</v>
      </c>
      <c r="D59" s="245"/>
      <c r="E59" s="319">
        <f>+'NP APU'!K502</f>
        <v>158348</v>
      </c>
      <c r="F59" s="175">
        <f t="shared" si="24"/>
        <v>0</v>
      </c>
      <c r="G59" s="255">
        <v>0</v>
      </c>
      <c r="H59" s="175" t="e">
        <f>G59*#REF!</f>
        <v>#REF!</v>
      </c>
      <c r="I59" s="266">
        <v>17</v>
      </c>
      <c r="J59" s="175">
        <f t="shared" si="25"/>
        <v>2691916</v>
      </c>
      <c r="K59" s="266">
        <v>0</v>
      </c>
      <c r="L59" s="175">
        <f t="shared" si="26"/>
        <v>0</v>
      </c>
      <c r="M59" s="266">
        <f t="shared" si="23"/>
        <v>17</v>
      </c>
      <c r="N59" s="175">
        <f t="shared" si="27"/>
        <v>2691916</v>
      </c>
    </row>
    <row r="60" spans="1:14" s="181" customFormat="1" ht="12.75" x14ac:dyDescent="0.25">
      <c r="A60" s="171">
        <v>6.05</v>
      </c>
      <c r="B60" s="177" t="s">
        <v>839</v>
      </c>
      <c r="C60" s="171" t="s">
        <v>241</v>
      </c>
      <c r="D60" s="245"/>
      <c r="E60" s="319">
        <f>+'NP APU'!K536</f>
        <v>261131</v>
      </c>
      <c r="F60" s="175">
        <f t="shared" si="24"/>
        <v>0</v>
      </c>
      <c r="G60" s="255">
        <v>0</v>
      </c>
      <c r="H60" s="175" t="e">
        <f>G60*#REF!</f>
        <v>#REF!</v>
      </c>
      <c r="I60" s="266">
        <v>5</v>
      </c>
      <c r="J60" s="175">
        <f t="shared" si="25"/>
        <v>1305655</v>
      </c>
      <c r="K60" s="266">
        <v>0</v>
      </c>
      <c r="L60" s="175">
        <f t="shared" si="26"/>
        <v>0</v>
      </c>
      <c r="M60" s="266">
        <f t="shared" si="23"/>
        <v>5</v>
      </c>
      <c r="N60" s="175">
        <f t="shared" si="27"/>
        <v>1305655</v>
      </c>
    </row>
    <row r="61" spans="1:14" s="181" customFormat="1" ht="12.75" x14ac:dyDescent="0.25">
      <c r="A61" s="171">
        <v>6.06</v>
      </c>
      <c r="B61" s="177" t="s">
        <v>840</v>
      </c>
      <c r="C61" s="171" t="s">
        <v>241</v>
      </c>
      <c r="D61" s="245"/>
      <c r="E61" s="319" t="e">
        <f>+'NP APU'!#REF!</f>
        <v>#REF!</v>
      </c>
      <c r="F61" s="175" t="e">
        <f t="shared" si="24"/>
        <v>#REF!</v>
      </c>
      <c r="G61" s="255">
        <v>0</v>
      </c>
      <c r="H61" s="175" t="e">
        <f>G61*#REF!</f>
        <v>#REF!</v>
      </c>
      <c r="I61" s="266">
        <v>1</v>
      </c>
      <c r="J61" s="175" t="e">
        <f t="shared" si="25"/>
        <v>#REF!</v>
      </c>
      <c r="K61" s="266">
        <v>0</v>
      </c>
      <c r="L61" s="175">
        <f t="shared" si="26"/>
        <v>0</v>
      </c>
      <c r="M61" s="266">
        <f t="shared" si="23"/>
        <v>1</v>
      </c>
      <c r="N61" s="175" t="e">
        <f t="shared" si="27"/>
        <v>#REF!</v>
      </c>
    </row>
    <row r="62" spans="1:14" s="181" customFormat="1" ht="12.75" x14ac:dyDescent="0.25">
      <c r="A62" s="171">
        <v>6.07</v>
      </c>
      <c r="B62" s="177" t="s">
        <v>841</v>
      </c>
      <c r="C62" s="171" t="s">
        <v>241</v>
      </c>
      <c r="D62" s="245"/>
      <c r="E62" s="319" t="e">
        <f>+'NP APU'!#REF!</f>
        <v>#REF!</v>
      </c>
      <c r="F62" s="175" t="e">
        <f t="shared" si="24"/>
        <v>#REF!</v>
      </c>
      <c r="G62" s="255">
        <v>0</v>
      </c>
      <c r="H62" s="175" t="e">
        <f>G62*#REF!</f>
        <v>#REF!</v>
      </c>
      <c r="I62" s="266">
        <v>1</v>
      </c>
      <c r="J62" s="175" t="e">
        <f t="shared" si="25"/>
        <v>#REF!</v>
      </c>
      <c r="K62" s="266">
        <v>0</v>
      </c>
      <c r="L62" s="175">
        <f t="shared" si="26"/>
        <v>0</v>
      </c>
      <c r="M62" s="266">
        <f t="shared" si="23"/>
        <v>1</v>
      </c>
      <c r="N62" s="175" t="e">
        <f t="shared" si="27"/>
        <v>#REF!</v>
      </c>
    </row>
    <row r="63" spans="1:14" s="181" customFormat="1" ht="12.75" thickBot="1" x14ac:dyDescent="0.3">
      <c r="A63" s="196"/>
      <c r="B63" s="197"/>
      <c r="C63" s="196"/>
      <c r="D63" s="246"/>
      <c r="E63" s="198" t="s">
        <v>655</v>
      </c>
      <c r="F63" s="199" t="e">
        <f>SUM(F56:F62)</f>
        <v>#REF!</v>
      </c>
      <c r="G63" s="256"/>
      <c r="H63" s="199" t="e">
        <f>SUM(H56:H62)</f>
        <v>#REF!</v>
      </c>
      <c r="I63" s="256"/>
      <c r="J63" s="199" t="e">
        <f>SUM(J56:J62)</f>
        <v>#REF!</v>
      </c>
      <c r="K63" s="256"/>
      <c r="L63" s="199">
        <f>SUM(L56:L62)</f>
        <v>0</v>
      </c>
      <c r="M63" s="269"/>
      <c r="N63" s="199" t="e">
        <f>SUM(N56:N62)</f>
        <v>#REF!</v>
      </c>
    </row>
    <row r="64" spans="1:14" ht="12.75" thickBot="1" x14ac:dyDescent="0.3">
      <c r="A64" s="316"/>
      <c r="B64" s="317"/>
      <c r="C64" s="317"/>
      <c r="D64" s="317"/>
      <c r="E64" s="317"/>
      <c r="F64" s="317"/>
      <c r="G64" s="317"/>
      <c r="H64" s="317"/>
      <c r="I64" s="317"/>
      <c r="J64" s="317"/>
      <c r="K64" s="317"/>
      <c r="L64" s="317"/>
      <c r="M64" s="317"/>
      <c r="N64" s="318"/>
    </row>
    <row r="65" spans="1:14" ht="17.25" customHeight="1" x14ac:dyDescent="0.25">
      <c r="A65" s="538" t="s">
        <v>783</v>
      </c>
      <c r="B65" s="539"/>
      <c r="C65" s="200"/>
      <c r="D65" s="275"/>
      <c r="E65" s="201"/>
      <c r="F65" s="202" t="e">
        <f>SUM(F17,F22,F50,F27,F54,F63)</f>
        <v>#REF!</v>
      </c>
      <c r="G65" s="257"/>
      <c r="H65" s="202" t="e">
        <f>SUM(H17,H22,H50,H27,H63)</f>
        <v>#REF!</v>
      </c>
      <c r="I65" s="257"/>
      <c r="J65" s="202" t="e">
        <f>SUM(J17,J22,J50,J27,J54,J63)</f>
        <v>#REF!</v>
      </c>
      <c r="K65" s="257"/>
      <c r="L65" s="202">
        <f>SUM(L17,L22,L50,L27,L54,L63)</f>
        <v>0</v>
      </c>
      <c r="M65" s="270"/>
      <c r="N65" s="202" t="e">
        <f>SUM(N17,N22,N50,N27,N54,N63)</f>
        <v>#REF!</v>
      </c>
    </row>
    <row r="66" spans="1:14" ht="19.5" customHeight="1" x14ac:dyDescent="0.25">
      <c r="A66" s="502" t="s">
        <v>784</v>
      </c>
      <c r="B66" s="503"/>
      <c r="C66" s="203"/>
      <c r="D66" s="277">
        <v>0.28000000000000003</v>
      </c>
      <c r="E66" s="204"/>
      <c r="F66" s="205" t="e">
        <f>ROUND(F65*D66,2)</f>
        <v>#REF!</v>
      </c>
      <c r="G66" s="258"/>
      <c r="H66" s="205" t="e">
        <f>ROUND(H65*D66,2)</f>
        <v>#REF!</v>
      </c>
      <c r="I66" s="258"/>
      <c r="J66" s="205" t="e">
        <f>ROUND(J65*D66,2)</f>
        <v>#REF!</v>
      </c>
      <c r="K66" s="258"/>
      <c r="L66" s="205" t="e">
        <f>ROUND(L65*F66,2)</f>
        <v>#REF!</v>
      </c>
      <c r="M66" s="258"/>
      <c r="N66" s="205" t="e">
        <f>ROUND(N65*D66,2)</f>
        <v>#REF!</v>
      </c>
    </row>
    <row r="67" spans="1:14" ht="18.75" customHeight="1" x14ac:dyDescent="0.25">
      <c r="A67" s="504" t="s">
        <v>785</v>
      </c>
      <c r="B67" s="505"/>
      <c r="C67" s="206"/>
      <c r="D67" s="278">
        <v>0.02</v>
      </c>
      <c r="E67" s="207"/>
      <c r="F67" s="205" t="e">
        <f>ROUND(F65*D67,2)</f>
        <v>#REF!</v>
      </c>
      <c r="G67" s="259"/>
      <c r="H67" s="205" t="e">
        <f>ROUND(H65*D67,2)</f>
        <v>#REF!</v>
      </c>
      <c r="I67" s="259"/>
      <c r="J67" s="205" t="e">
        <f>ROUND(J65*D67,2)</f>
        <v>#REF!</v>
      </c>
      <c r="K67" s="259"/>
      <c r="L67" s="205" t="e">
        <f>ROUND(L65*F67,2)</f>
        <v>#REF!</v>
      </c>
      <c r="M67" s="259"/>
      <c r="N67" s="205" t="e">
        <f>ROUND(N65*D67,2)</f>
        <v>#REF!</v>
      </c>
    </row>
    <row r="68" spans="1:14" ht="17.25" customHeight="1" x14ac:dyDescent="0.25">
      <c r="A68" s="502" t="s">
        <v>786</v>
      </c>
      <c r="B68" s="503"/>
      <c r="C68" s="203"/>
      <c r="D68" s="277">
        <v>0.05</v>
      </c>
      <c r="E68" s="209"/>
      <c r="F68" s="205" t="e">
        <f>ROUND(F65*D68,2)</f>
        <v>#REF!</v>
      </c>
      <c r="G68" s="260"/>
      <c r="H68" s="205" t="e">
        <f>ROUND(H65*D68,2)</f>
        <v>#REF!</v>
      </c>
      <c r="I68" s="260"/>
      <c r="J68" s="205" t="e">
        <f>ROUND(J65*D68,2)</f>
        <v>#REF!</v>
      </c>
      <c r="K68" s="260"/>
      <c r="L68" s="205" t="e">
        <f>ROUND(L65*F68,2)</f>
        <v>#REF!</v>
      </c>
      <c r="M68" s="260"/>
      <c r="N68" s="205" t="e">
        <f>ROUND(N65*D68,2)</f>
        <v>#REF!</v>
      </c>
    </row>
    <row r="69" spans="1:14" ht="18.75" customHeight="1" x14ac:dyDescent="0.25">
      <c r="A69" s="504" t="s">
        <v>787</v>
      </c>
      <c r="B69" s="505"/>
      <c r="C69" s="211"/>
      <c r="D69" s="279"/>
      <c r="E69" s="212"/>
      <c r="F69" s="213" t="e">
        <f>ROUND(F65+F66+F67+F68,2)</f>
        <v>#REF!</v>
      </c>
      <c r="G69" s="261"/>
      <c r="H69" s="213" t="e">
        <f>ROUND(SUM(H65:H68),2)</f>
        <v>#REF!</v>
      </c>
      <c r="I69" s="259"/>
      <c r="J69" s="213" t="e">
        <f>ROUND(J65+J66+J67+J68,2)</f>
        <v>#REF!</v>
      </c>
      <c r="K69" s="259"/>
      <c r="L69" s="213" t="e">
        <f>ROUND(L65+L66+L67+L68,2)</f>
        <v>#REF!</v>
      </c>
      <c r="M69" s="259"/>
      <c r="N69" s="213" t="e">
        <f>ROUND(N65+N66+N67+N68,2)</f>
        <v>#REF!</v>
      </c>
    </row>
    <row r="70" spans="1:14" ht="21.95" hidden="1" customHeight="1" thickBot="1" x14ac:dyDescent="0.3">
      <c r="A70" s="522" t="s">
        <v>788</v>
      </c>
      <c r="B70" s="523"/>
      <c r="C70" s="273"/>
      <c r="D70" s="248">
        <v>0.2</v>
      </c>
      <c r="E70" s="214"/>
      <c r="F70" s="215" t="e">
        <f>ROUND(F69*D70,0)</f>
        <v>#REF!</v>
      </c>
      <c r="G70" s="262"/>
      <c r="H70" s="216"/>
      <c r="I70" s="268"/>
      <c r="J70" s="217"/>
      <c r="K70" s="309"/>
      <c r="L70" s="309"/>
      <c r="M70" s="268"/>
      <c r="N70" s="218"/>
    </row>
    <row r="71" spans="1:14" ht="21.95" hidden="1" customHeight="1" x14ac:dyDescent="0.25">
      <c r="A71" s="507" t="s">
        <v>789</v>
      </c>
      <c r="B71" s="508"/>
      <c r="C71" s="509"/>
      <c r="D71" s="510"/>
      <c r="E71" s="510"/>
      <c r="F71" s="510"/>
      <c r="G71" s="510"/>
      <c r="H71" s="510"/>
      <c r="I71" s="511"/>
      <c r="J71" s="219" t="e">
        <f>J69*D70</f>
        <v>#REF!</v>
      </c>
      <c r="K71" s="310"/>
      <c r="L71" s="310"/>
      <c r="M71" s="271"/>
      <c r="N71" s="219" t="e">
        <f>N69*D70</f>
        <v>#REF!</v>
      </c>
    </row>
    <row r="72" spans="1:14" ht="21.95" hidden="1" customHeight="1" x14ac:dyDescent="0.25">
      <c r="A72" s="512" t="s">
        <v>790</v>
      </c>
      <c r="B72" s="513"/>
      <c r="C72" s="514"/>
      <c r="D72" s="515"/>
      <c r="E72" s="515"/>
      <c r="F72" s="515"/>
      <c r="G72" s="515"/>
      <c r="H72" s="515"/>
      <c r="I72" s="516"/>
      <c r="J72" s="205" t="e">
        <f>F70-J71</f>
        <v>#REF!</v>
      </c>
      <c r="K72" s="307"/>
      <c r="L72" s="307"/>
      <c r="M72" s="260"/>
      <c r="N72" s="205" t="e">
        <f>F70-N71</f>
        <v>#REF!</v>
      </c>
    </row>
    <row r="73" spans="1:14" ht="21.95" hidden="1" customHeight="1" thickBot="1" x14ac:dyDescent="0.3">
      <c r="A73" s="517" t="s">
        <v>791</v>
      </c>
      <c r="B73" s="518"/>
      <c r="C73" s="519"/>
      <c r="D73" s="520"/>
      <c r="E73" s="520"/>
      <c r="F73" s="520"/>
      <c r="G73" s="520"/>
      <c r="H73" s="520"/>
      <c r="I73" s="521"/>
      <c r="J73" s="220" t="e">
        <f>J69-J71</f>
        <v>#REF!</v>
      </c>
      <c r="K73" s="311"/>
      <c r="L73" s="311"/>
      <c r="M73" s="272"/>
      <c r="N73" s="220" t="e">
        <f>N69-N71</f>
        <v>#REF!</v>
      </c>
    </row>
    <row r="74" spans="1:14" ht="18.75" hidden="1" customHeight="1" x14ac:dyDescent="0.25">
      <c r="A74" s="502" t="s">
        <v>792</v>
      </c>
      <c r="B74" s="503"/>
      <c r="C74" s="221"/>
      <c r="D74" s="249"/>
      <c r="E74" s="204"/>
      <c r="F74" s="222"/>
      <c r="G74" s="258"/>
      <c r="H74" s="222"/>
      <c r="I74" s="260"/>
      <c r="J74" s="223">
        <v>0</v>
      </c>
      <c r="K74" s="312"/>
      <c r="L74" s="312">
        <v>0</v>
      </c>
      <c r="M74" s="260"/>
      <c r="N74" s="210"/>
    </row>
    <row r="75" spans="1:14" ht="18.75" hidden="1" customHeight="1" x14ac:dyDescent="0.25">
      <c r="A75" s="504" t="s">
        <v>793</v>
      </c>
      <c r="B75" s="505"/>
      <c r="C75" s="211"/>
      <c r="D75" s="247"/>
      <c r="E75" s="212"/>
      <c r="F75" s="213"/>
      <c r="G75" s="261"/>
      <c r="H75" s="213"/>
      <c r="I75" s="259"/>
      <c r="J75" s="213" t="e">
        <f>N69-J74</f>
        <v>#REF!</v>
      </c>
      <c r="K75" s="308"/>
      <c r="L75" s="308" t="e">
        <f>+L69</f>
        <v>#REF!</v>
      </c>
      <c r="M75" s="259"/>
      <c r="N75" s="208"/>
    </row>
    <row r="76" spans="1:14" ht="28.5" customHeight="1" x14ac:dyDescent="0.25">
      <c r="A76" s="224"/>
      <c r="J76" s="225"/>
      <c r="K76" s="225"/>
      <c r="L76" s="225"/>
      <c r="N76" s="226"/>
    </row>
    <row r="77" spans="1:14" ht="36.75" customHeight="1" x14ac:dyDescent="0.25">
      <c r="A77" s="224"/>
      <c r="J77" s="225" t="e">
        <f>+F69-J69</f>
        <v>#REF!</v>
      </c>
      <c r="K77" s="225"/>
      <c r="L77" s="225"/>
      <c r="N77" s="226"/>
    </row>
    <row r="78" spans="1:14" ht="15.75" customHeight="1" x14ac:dyDescent="0.25">
      <c r="A78" s="224"/>
      <c r="B78" s="227"/>
      <c r="E78" s="227"/>
      <c r="F78" s="227"/>
      <c r="G78" s="263"/>
      <c r="I78" s="263"/>
      <c r="J78" s="227"/>
      <c r="K78" s="227"/>
      <c r="L78" s="227"/>
      <c r="M78" s="263"/>
      <c r="N78" s="226"/>
    </row>
    <row r="79" spans="1:14" ht="15.75" customHeight="1" x14ac:dyDescent="0.25">
      <c r="A79" s="224"/>
      <c r="B79" s="228" t="s">
        <v>800</v>
      </c>
      <c r="C79" s="230"/>
      <c r="D79" s="251"/>
      <c r="E79" s="506" t="s">
        <v>794</v>
      </c>
      <c r="F79" s="506"/>
      <c r="G79" s="506"/>
      <c r="H79" s="181"/>
      <c r="I79" s="506" t="s">
        <v>795</v>
      </c>
      <c r="J79" s="506"/>
      <c r="K79" s="506"/>
      <c r="L79" s="506"/>
      <c r="M79" s="506"/>
      <c r="N79" s="229"/>
    </row>
    <row r="80" spans="1:14" x14ac:dyDescent="0.25">
      <c r="A80" s="224"/>
      <c r="B80" s="230" t="s">
        <v>801</v>
      </c>
      <c r="C80" s="230"/>
      <c r="D80" s="251"/>
      <c r="E80" s="506" t="s">
        <v>797</v>
      </c>
      <c r="F80" s="506"/>
      <c r="G80" s="506"/>
      <c r="H80" s="181"/>
      <c r="I80" s="506" t="s">
        <v>798</v>
      </c>
      <c r="J80" s="506"/>
      <c r="K80" s="506"/>
      <c r="L80" s="506"/>
      <c r="M80" s="506"/>
      <c r="N80" s="229"/>
    </row>
    <row r="81" spans="1:14" ht="12.75" thickBot="1" x14ac:dyDescent="0.3">
      <c r="A81" s="231"/>
      <c r="B81" s="232" t="s">
        <v>796</v>
      </c>
      <c r="C81" s="232"/>
      <c r="D81" s="252"/>
      <c r="E81" s="233"/>
      <c r="F81" s="233"/>
      <c r="G81" s="264"/>
      <c r="H81" s="233"/>
      <c r="I81" s="501"/>
      <c r="J81" s="501"/>
      <c r="K81" s="501"/>
      <c r="L81" s="501"/>
      <c r="M81" s="501"/>
      <c r="N81" s="234"/>
    </row>
    <row r="82" spans="1:14" x14ac:dyDescent="0.25">
      <c r="A82" s="235"/>
    </row>
    <row r="84" spans="1:14" ht="28.5" customHeight="1" x14ac:dyDescent="0.25">
      <c r="J84" s="157">
        <f>88*3.4*0.2</f>
        <v>59.84</v>
      </c>
    </row>
    <row r="85" spans="1:14" x14ac:dyDescent="0.25">
      <c r="F85" s="236"/>
    </row>
    <row r="86" spans="1:14" ht="16.5" customHeight="1" x14ac:dyDescent="0.25">
      <c r="H86" s="237"/>
      <c r="J86" s="238"/>
      <c r="K86" s="238"/>
      <c r="L86" s="238"/>
    </row>
    <row r="87" spans="1:14" ht="14.25" customHeight="1" x14ac:dyDescent="0.25">
      <c r="J87" s="238"/>
      <c r="K87" s="238"/>
      <c r="L87" s="238"/>
    </row>
    <row r="88" spans="1:14" ht="15.75" customHeight="1" x14ac:dyDescent="0.25">
      <c r="J88" s="238"/>
      <c r="K88" s="238"/>
      <c r="L88" s="238"/>
    </row>
    <row r="89" spans="1:14" x14ac:dyDescent="0.25">
      <c r="J89" s="238"/>
      <c r="K89" s="238"/>
      <c r="L89" s="238"/>
    </row>
    <row r="90" spans="1:14" x14ac:dyDescent="0.25">
      <c r="J90" s="238"/>
      <c r="K90" s="238"/>
      <c r="L90" s="238"/>
    </row>
    <row r="91" spans="1:14" x14ac:dyDescent="0.25">
      <c r="J91" s="238"/>
      <c r="K91" s="238"/>
      <c r="L91" s="238"/>
    </row>
    <row r="92" spans="1:14" x14ac:dyDescent="0.25">
      <c r="J92" s="238"/>
      <c r="K92" s="238"/>
      <c r="L92" s="238"/>
    </row>
    <row r="94" spans="1:14" x14ac:dyDescent="0.25">
      <c r="J94" s="238"/>
      <c r="K94" s="238"/>
      <c r="L94" s="238"/>
    </row>
    <row r="96" spans="1:14" ht="27" customHeight="1" x14ac:dyDescent="0.25">
      <c r="J96" s="239"/>
      <c r="K96" s="239"/>
      <c r="L96" s="239"/>
    </row>
    <row r="98" spans="10:12" x14ac:dyDescent="0.25">
      <c r="J98" s="238"/>
      <c r="K98" s="238"/>
      <c r="L98" s="238"/>
    </row>
  </sheetData>
  <mergeCells count="43">
    <mergeCell ref="A1:I2"/>
    <mergeCell ref="J1:N1"/>
    <mergeCell ref="J2:N2"/>
    <mergeCell ref="A3:B7"/>
    <mergeCell ref="C3:F7"/>
    <mergeCell ref="G3:I3"/>
    <mergeCell ref="J3:N3"/>
    <mergeCell ref="G4:N4"/>
    <mergeCell ref="G5:H5"/>
    <mergeCell ref="I5:L5"/>
    <mergeCell ref="M5:N5"/>
    <mergeCell ref="G6:H6"/>
    <mergeCell ref="I6:L6"/>
    <mergeCell ref="M6:N7"/>
    <mergeCell ref="G7:H7"/>
    <mergeCell ref="I7:L7"/>
    <mergeCell ref="A70:B70"/>
    <mergeCell ref="A8:N8"/>
    <mergeCell ref="A9:A10"/>
    <mergeCell ref="B9:B10"/>
    <mergeCell ref="C9:F9"/>
    <mergeCell ref="G9:H9"/>
    <mergeCell ref="I9:J9"/>
    <mergeCell ref="K9:L9"/>
    <mergeCell ref="M9:N9"/>
    <mergeCell ref="A65:B65"/>
    <mergeCell ref="A66:B66"/>
    <mergeCell ref="A67:B67"/>
    <mergeCell ref="A68:B68"/>
    <mergeCell ref="A69:B69"/>
    <mergeCell ref="A71:B71"/>
    <mergeCell ref="C71:I71"/>
    <mergeCell ref="A72:B72"/>
    <mergeCell ref="C72:I72"/>
    <mergeCell ref="A73:B73"/>
    <mergeCell ref="C73:I73"/>
    <mergeCell ref="I81:M81"/>
    <mergeCell ref="A74:B74"/>
    <mergeCell ref="A75:B75"/>
    <mergeCell ref="E79:G79"/>
    <mergeCell ref="I79:M79"/>
    <mergeCell ref="E80:G80"/>
    <mergeCell ref="I80:M80"/>
  </mergeCells>
  <conditionalFormatting sqref="I12 I17:I18">
    <cfRule type="cellIs" dxfId="50" priority="9" stopIfTrue="1" operator="equal">
      <formula>"Columna1"</formula>
    </cfRule>
  </conditionalFormatting>
  <conditionalFormatting sqref="I22:I62">
    <cfRule type="cellIs" dxfId="49" priority="6" stopIfTrue="1" operator="equal">
      <formula>"Columna1"</formula>
    </cfRule>
  </conditionalFormatting>
  <conditionalFormatting sqref="K12:K62">
    <cfRule type="cellIs" dxfId="48" priority="1" stopIfTrue="1" operator="equal">
      <formula>"Columna1"</formula>
    </cfRule>
  </conditionalFormatting>
  <conditionalFormatting sqref="M13:M63">
    <cfRule type="cellIs" dxfId="47" priority="5" stopIfTrue="1" operator="equal">
      <formula>"Columna1"</formula>
    </cfRule>
  </conditionalFormatting>
  <printOptions horizontalCentered="1"/>
  <pageMargins left="0.55118110236220474" right="0.31496062992125984" top="0.51181102362204722" bottom="0.39370078740157483" header="0" footer="0"/>
  <pageSetup scale="40" orientation="portrait" horizontalDpi="4294967293"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96"/>
  <sheetViews>
    <sheetView view="pageBreakPreview" zoomScale="85" zoomScaleNormal="90" zoomScaleSheetLayoutView="85" workbookViewId="0">
      <selection activeCell="C15" sqref="C15"/>
    </sheetView>
  </sheetViews>
  <sheetFormatPr baseColWidth="10" defaultColWidth="11.5703125" defaultRowHeight="12" x14ac:dyDescent="0.25"/>
  <cols>
    <col min="1" max="1" width="6.28515625" style="157" bestFit="1" customWidth="1"/>
    <col min="2" max="2" width="50.85546875" style="157" customWidth="1"/>
    <col min="3" max="3" width="7.140625" style="274" customWidth="1"/>
    <col min="4" max="4" width="8.7109375" style="276" customWidth="1"/>
    <col min="5" max="5" width="14" style="157" customWidth="1"/>
    <col min="6" max="6" width="21.28515625" style="157" customWidth="1"/>
    <col min="7" max="7" width="13" style="250" customWidth="1"/>
    <col min="8" max="8" width="20.85546875" style="157" customWidth="1"/>
    <col min="9" max="9" width="12.42578125" style="157" customWidth="1"/>
    <col min="10" max="10" width="20.140625" style="157" bestFit="1" customWidth="1"/>
    <col min="11" max="11" width="11.28515625" style="250" customWidth="1"/>
    <col min="12" max="12" width="20.7109375" style="157" customWidth="1"/>
    <col min="13" max="13" width="8.28515625" style="157" customWidth="1"/>
    <col min="14" max="14" width="5" style="157" customWidth="1"/>
    <col min="15" max="15" width="11.85546875" style="157" customWidth="1"/>
    <col min="16" max="16" width="15.85546875" style="157" customWidth="1"/>
    <col min="17" max="16384" width="11.5703125" style="157"/>
  </cols>
  <sheetData>
    <row r="1" spans="1:16" ht="18.75" customHeight="1" thickBot="1" x14ac:dyDescent="0.3">
      <c r="A1" s="540" t="s">
        <v>844</v>
      </c>
      <c r="B1" s="593"/>
      <c r="C1" s="593"/>
      <c r="D1" s="593"/>
      <c r="E1" s="593"/>
      <c r="F1" s="593"/>
      <c r="G1" s="593"/>
      <c r="H1" s="593"/>
      <c r="I1" s="594"/>
      <c r="J1" s="590" t="s">
        <v>763</v>
      </c>
      <c r="K1" s="591"/>
      <c r="L1" s="592"/>
    </row>
    <row r="2" spans="1:16" ht="19.5" customHeight="1" thickBot="1" x14ac:dyDescent="0.3">
      <c r="A2" s="595"/>
      <c r="B2" s="501"/>
      <c r="C2" s="501"/>
      <c r="D2" s="501"/>
      <c r="E2" s="501"/>
      <c r="F2" s="501"/>
      <c r="G2" s="501"/>
      <c r="H2" s="501"/>
      <c r="I2" s="596"/>
      <c r="J2" s="590" t="s">
        <v>764</v>
      </c>
      <c r="K2" s="591"/>
      <c r="L2" s="592"/>
    </row>
    <row r="3" spans="1:16" ht="30" customHeight="1" thickBot="1" x14ac:dyDescent="0.3">
      <c r="A3" s="547"/>
      <c r="B3" s="548"/>
      <c r="C3" s="552" t="s">
        <v>765</v>
      </c>
      <c r="D3" s="553"/>
      <c r="E3" s="553"/>
      <c r="F3" s="554"/>
      <c r="G3" s="587" t="s">
        <v>803</v>
      </c>
      <c r="H3" s="588"/>
      <c r="I3" s="588"/>
      <c r="J3" s="590" t="s">
        <v>766</v>
      </c>
      <c r="K3" s="591"/>
      <c r="L3" s="592"/>
    </row>
    <row r="4" spans="1:16" ht="30" customHeight="1" thickBot="1" x14ac:dyDescent="0.3">
      <c r="A4" s="549"/>
      <c r="B4" s="550"/>
      <c r="C4" s="555"/>
      <c r="D4" s="556"/>
      <c r="E4" s="556"/>
      <c r="F4" s="557"/>
      <c r="G4" s="587" t="s">
        <v>804</v>
      </c>
      <c r="H4" s="588"/>
      <c r="I4" s="588"/>
      <c r="J4" s="588"/>
      <c r="K4" s="588"/>
      <c r="L4" s="589"/>
    </row>
    <row r="5" spans="1:16" ht="28.15" customHeight="1" thickBot="1" x14ac:dyDescent="0.3">
      <c r="A5" s="549"/>
      <c r="B5" s="550"/>
      <c r="C5" s="555"/>
      <c r="D5" s="556"/>
      <c r="E5" s="556"/>
      <c r="F5" s="556"/>
      <c r="G5" s="566" t="s">
        <v>767</v>
      </c>
      <c r="H5" s="597"/>
      <c r="I5" s="568">
        <f>+F69</f>
        <v>150077970.44999999</v>
      </c>
      <c r="J5" s="570"/>
      <c r="K5" s="571" t="s">
        <v>799</v>
      </c>
      <c r="L5" s="572"/>
      <c r="M5" s="158">
        <f>I5/2</f>
        <v>75038985.224999994</v>
      </c>
    </row>
    <row r="6" spans="1:16" ht="22.5" customHeight="1" thickBot="1" x14ac:dyDescent="0.3">
      <c r="A6" s="549"/>
      <c r="B6" s="550"/>
      <c r="C6" s="555"/>
      <c r="D6" s="556"/>
      <c r="E6" s="556"/>
      <c r="F6" s="557"/>
      <c r="G6" s="566" t="s">
        <v>768</v>
      </c>
      <c r="H6" s="597"/>
      <c r="I6" s="585">
        <v>0</v>
      </c>
      <c r="J6" s="586"/>
      <c r="K6" s="576">
        <f>L69/F69</f>
        <v>0.40128493888491285</v>
      </c>
      <c r="L6" s="577"/>
      <c r="M6" s="157">
        <v>0.40128493888491285</v>
      </c>
    </row>
    <row r="7" spans="1:16" ht="22.5" customHeight="1" thickBot="1" x14ac:dyDescent="0.3">
      <c r="A7" s="542"/>
      <c r="B7" s="551"/>
      <c r="C7" s="558"/>
      <c r="D7" s="559"/>
      <c r="E7" s="559"/>
      <c r="F7" s="560"/>
      <c r="G7" s="580" t="s">
        <v>769</v>
      </c>
      <c r="H7" s="598"/>
      <c r="I7" s="582">
        <f>+I5+I6</f>
        <v>150077970.44999999</v>
      </c>
      <c r="J7" s="584"/>
      <c r="K7" s="578"/>
      <c r="L7" s="579"/>
      <c r="M7" s="326">
        <f>+ROUND(M6*100,2)</f>
        <v>40.130000000000003</v>
      </c>
    </row>
    <row r="8" spans="1:16" ht="12.75" thickBot="1" x14ac:dyDescent="0.3">
      <c r="A8" s="524"/>
      <c r="B8" s="525"/>
      <c r="C8" s="525"/>
      <c r="D8" s="525"/>
      <c r="E8" s="525"/>
      <c r="F8" s="525"/>
      <c r="G8" s="525"/>
      <c r="H8" s="525"/>
      <c r="I8" s="525"/>
      <c r="J8" s="525"/>
      <c r="K8" s="525"/>
      <c r="L8" s="526"/>
    </row>
    <row r="9" spans="1:16" ht="67.900000000000006" customHeight="1" x14ac:dyDescent="0.25">
      <c r="A9" s="527" t="s">
        <v>647</v>
      </c>
      <c r="B9" s="529" t="s">
        <v>498</v>
      </c>
      <c r="C9" s="531" t="s">
        <v>760</v>
      </c>
      <c r="D9" s="532"/>
      <c r="E9" s="532"/>
      <c r="F9" s="533"/>
      <c r="G9" s="536" t="s">
        <v>831</v>
      </c>
      <c r="H9" s="537"/>
      <c r="I9" s="534" t="s">
        <v>770</v>
      </c>
      <c r="J9" s="535"/>
      <c r="K9" s="536" t="s">
        <v>771</v>
      </c>
      <c r="L9" s="537"/>
    </row>
    <row r="10" spans="1:16" ht="22.5" customHeight="1" thickBot="1" x14ac:dyDescent="0.3">
      <c r="A10" s="528"/>
      <c r="B10" s="530"/>
      <c r="C10" s="159" t="s">
        <v>241</v>
      </c>
      <c r="D10" s="242" t="s">
        <v>772</v>
      </c>
      <c r="E10" s="160" t="s">
        <v>773</v>
      </c>
      <c r="F10" s="161" t="s">
        <v>649</v>
      </c>
      <c r="G10" s="253" t="s">
        <v>772</v>
      </c>
      <c r="H10" s="161" t="s">
        <v>649</v>
      </c>
      <c r="I10" s="253" t="s">
        <v>772</v>
      </c>
      <c r="J10" s="161" t="s">
        <v>649</v>
      </c>
      <c r="K10" s="253" t="s">
        <v>772</v>
      </c>
      <c r="L10" s="161" t="s">
        <v>649</v>
      </c>
    </row>
    <row r="11" spans="1:16" ht="12.75" thickBot="1" x14ac:dyDescent="0.3">
      <c r="A11" s="313"/>
      <c r="B11" s="314"/>
      <c r="C11" s="314"/>
      <c r="D11" s="314"/>
      <c r="E11" s="314"/>
      <c r="F11" s="314"/>
      <c r="G11" s="314"/>
      <c r="H11" s="314"/>
      <c r="I11" s="314"/>
      <c r="J11" s="314"/>
      <c r="K11" s="314"/>
      <c r="L11" s="315"/>
    </row>
    <row r="12" spans="1:16" s="170" customFormat="1" ht="20.100000000000001" customHeight="1" x14ac:dyDescent="0.25">
      <c r="A12" s="162">
        <v>1</v>
      </c>
      <c r="B12" s="163" t="s">
        <v>53</v>
      </c>
      <c r="C12" s="164"/>
      <c r="D12" s="243"/>
      <c r="E12" s="165" t="s">
        <v>650</v>
      </c>
      <c r="F12" s="166"/>
      <c r="G12" s="265"/>
      <c r="H12" s="168"/>
      <c r="I12" s="265"/>
      <c r="J12" s="168"/>
      <c r="K12" s="254"/>
      <c r="L12" s="169"/>
    </row>
    <row r="13" spans="1:16" s="176" customFormat="1" ht="20.100000000000001" customHeight="1" x14ac:dyDescent="0.2">
      <c r="A13" s="171">
        <v>1.01</v>
      </c>
      <c r="B13" s="172" t="s">
        <v>651</v>
      </c>
      <c r="C13" s="173" t="s">
        <v>216</v>
      </c>
      <c r="D13" s="244">
        <v>46.44</v>
      </c>
      <c r="E13" s="174">
        <v>2800</v>
      </c>
      <c r="F13" s="175">
        <f>ROUND(D13*E13,0)</f>
        <v>130032</v>
      </c>
      <c r="G13" s="266">
        <f>+BALANCE!G6</f>
        <v>26.26</v>
      </c>
      <c r="H13" s="175">
        <f>ROUND(E13*G13,0)</f>
        <v>73528</v>
      </c>
      <c r="I13" s="266">
        <f>1.01*49</f>
        <v>49.49</v>
      </c>
      <c r="J13" s="175">
        <f>ROUND(E13*I13,0)</f>
        <v>138572</v>
      </c>
      <c r="K13" s="266">
        <f>+G13</f>
        <v>26.26</v>
      </c>
      <c r="L13" s="175">
        <f>ROUND(E13*K13,0)</f>
        <v>73528</v>
      </c>
      <c r="M13" s="176">
        <v>100</v>
      </c>
      <c r="O13" s="176">
        <v>130032</v>
      </c>
      <c r="P13" s="330">
        <f t="shared" ref="P13:P44" si="0">+F13-O13</f>
        <v>0</v>
      </c>
    </row>
    <row r="14" spans="1:16" s="176" customFormat="1" ht="20.100000000000001" customHeight="1" x14ac:dyDescent="0.2">
      <c r="A14" s="171">
        <v>1.21</v>
      </c>
      <c r="B14" s="177" t="s">
        <v>652</v>
      </c>
      <c r="C14" s="173" t="s">
        <v>216</v>
      </c>
      <c r="D14" s="244">
        <v>54.75</v>
      </c>
      <c r="E14" s="174">
        <v>3600</v>
      </c>
      <c r="F14" s="175">
        <f>ROUND(D14*E14,0)</f>
        <v>197100</v>
      </c>
      <c r="G14" s="266">
        <f>+BALANCE!G7</f>
        <v>30.939999999999998</v>
      </c>
      <c r="H14" s="175">
        <f>ROUND(E14*G14,0)</f>
        <v>111384</v>
      </c>
      <c r="I14" s="266">
        <f>1.19*49</f>
        <v>58.309999999999995</v>
      </c>
      <c r="J14" s="175">
        <f>ROUND(E14*I14,0)</f>
        <v>209916</v>
      </c>
      <c r="K14" s="266">
        <f t="shared" ref="K14:K53" si="1">+G14</f>
        <v>30.939999999999998</v>
      </c>
      <c r="L14" s="175">
        <f>ROUND(E14*K14,0)</f>
        <v>111384</v>
      </c>
      <c r="M14" s="176">
        <v>84</v>
      </c>
      <c r="O14" s="176">
        <v>197100</v>
      </c>
      <c r="P14" s="330">
        <f t="shared" si="0"/>
        <v>0</v>
      </c>
    </row>
    <row r="15" spans="1:16" s="176" customFormat="1" ht="20.100000000000001" customHeight="1" x14ac:dyDescent="0.2">
      <c r="A15" s="171">
        <v>1.23</v>
      </c>
      <c r="B15" s="177" t="s">
        <v>653</v>
      </c>
      <c r="C15" s="173" t="s">
        <v>216</v>
      </c>
      <c r="D15" s="244">
        <v>18.149999999999999</v>
      </c>
      <c r="E15" s="174">
        <v>19700</v>
      </c>
      <c r="F15" s="175">
        <f>ROUND(D15*E15,0)</f>
        <v>357555</v>
      </c>
      <c r="G15" s="266">
        <f>+BALANCE!G8</f>
        <v>3</v>
      </c>
      <c r="H15" s="175">
        <f>ROUND(E15*G15,0)</f>
        <v>59100</v>
      </c>
      <c r="I15" s="266">
        <v>18.149999999999999</v>
      </c>
      <c r="J15" s="175">
        <f>ROUND(E15*I15,0)</f>
        <v>357555</v>
      </c>
      <c r="K15" s="266">
        <f t="shared" si="1"/>
        <v>3</v>
      </c>
      <c r="L15" s="175">
        <f>ROUND(E15*K15,0)</f>
        <v>59100</v>
      </c>
      <c r="O15" s="176">
        <v>357555</v>
      </c>
      <c r="P15" s="330">
        <f t="shared" si="0"/>
        <v>0</v>
      </c>
    </row>
    <row r="16" spans="1:16" s="176" customFormat="1" ht="20.100000000000001" customHeight="1" x14ac:dyDescent="0.2">
      <c r="A16" s="171">
        <v>1.04</v>
      </c>
      <c r="B16" s="177" t="s">
        <v>654</v>
      </c>
      <c r="C16" s="173" t="s">
        <v>216</v>
      </c>
      <c r="D16" s="244">
        <v>18.149999999999999</v>
      </c>
      <c r="E16" s="174">
        <v>67400</v>
      </c>
      <c r="F16" s="175">
        <f>ROUND(D16*E16,0)</f>
        <v>1223310</v>
      </c>
      <c r="G16" s="266">
        <f>+BALANCE!G9</f>
        <v>2.5</v>
      </c>
      <c r="H16" s="175">
        <f>ROUND(E16*G16,0)</f>
        <v>168500</v>
      </c>
      <c r="I16" s="266">
        <v>18.149999999999999</v>
      </c>
      <c r="J16" s="175">
        <f>ROUND(E16*I16,0)</f>
        <v>1223310</v>
      </c>
      <c r="K16" s="266">
        <f t="shared" si="1"/>
        <v>2.5</v>
      </c>
      <c r="L16" s="175">
        <f>ROUND(E16*K16,0)</f>
        <v>168500</v>
      </c>
      <c r="O16" s="176">
        <v>1223310</v>
      </c>
      <c r="P16" s="330">
        <f t="shared" si="0"/>
        <v>0</v>
      </c>
    </row>
    <row r="17" spans="1:16" s="181" customFormat="1" ht="20.100000000000001" customHeight="1" x14ac:dyDescent="0.25">
      <c r="A17" s="178"/>
      <c r="B17" s="179" t="s">
        <v>655</v>
      </c>
      <c r="C17" s="186" t="s">
        <v>650</v>
      </c>
      <c r="D17" s="188" t="s">
        <v>650</v>
      </c>
      <c r="E17" s="179"/>
      <c r="F17" s="180">
        <f>ROUND((SUM(F13:F16)),0)</f>
        <v>1907997</v>
      </c>
      <c r="G17" s="266" t="str">
        <f>+BALANCE!G10</f>
        <v xml:space="preserve"> </v>
      </c>
      <c r="H17" s="180">
        <f>SUM(H13:H16)</f>
        <v>412512</v>
      </c>
      <c r="I17" s="266"/>
      <c r="J17" s="180">
        <f>SUM(J13:J16)</f>
        <v>1929353</v>
      </c>
      <c r="K17" s="266" t="str">
        <f t="shared" si="1"/>
        <v xml:space="preserve"> </v>
      </c>
      <c r="L17" s="180">
        <f>SUM(L13:L16)</f>
        <v>412512</v>
      </c>
      <c r="O17" s="181">
        <v>1907997</v>
      </c>
      <c r="P17" s="330">
        <f t="shared" si="0"/>
        <v>0</v>
      </c>
    </row>
    <row r="18" spans="1:16" s="181" customFormat="1" ht="20.100000000000001" customHeight="1" x14ac:dyDescent="0.25">
      <c r="A18" s="178">
        <v>2</v>
      </c>
      <c r="B18" s="179" t="s">
        <v>656</v>
      </c>
      <c r="C18" s="186"/>
      <c r="D18" s="188"/>
      <c r="E18" s="179"/>
      <c r="F18" s="182"/>
      <c r="G18" s="266"/>
      <c r="H18" s="182"/>
      <c r="I18" s="266"/>
      <c r="J18" s="182"/>
      <c r="K18" s="266"/>
      <c r="L18" s="182"/>
      <c r="P18" s="330">
        <f t="shared" si="0"/>
        <v>0</v>
      </c>
    </row>
    <row r="19" spans="1:16" ht="24" customHeight="1" x14ac:dyDescent="0.25">
      <c r="A19" s="171">
        <v>2.0099999999999998</v>
      </c>
      <c r="B19" s="240" t="s">
        <v>657</v>
      </c>
      <c r="C19" s="241" t="s">
        <v>172</v>
      </c>
      <c r="D19" s="195">
        <v>41.26</v>
      </c>
      <c r="E19" s="240">
        <v>27000</v>
      </c>
      <c r="F19" s="175">
        <f t="shared" ref="F19:F20" si="2">ROUND(D19*E19,0)</f>
        <v>1114020</v>
      </c>
      <c r="G19" s="266">
        <f>+BALANCE!G12</f>
        <v>17.739999999999998</v>
      </c>
      <c r="H19" s="175">
        <f>ROUND(E19*G19,0)</f>
        <v>478980</v>
      </c>
      <c r="I19" s="266">
        <v>44.1</v>
      </c>
      <c r="J19" s="175">
        <f>ROUND(E19*I19,0)</f>
        <v>1190700</v>
      </c>
      <c r="K19" s="266">
        <f t="shared" si="1"/>
        <v>17.739999999999998</v>
      </c>
      <c r="L19" s="175">
        <f>ROUND(E19*K19,0)</f>
        <v>478980</v>
      </c>
      <c r="O19" s="157">
        <v>1114020</v>
      </c>
      <c r="P19" s="330">
        <f t="shared" si="0"/>
        <v>0</v>
      </c>
    </row>
    <row r="20" spans="1:16" ht="20.100000000000001" customHeight="1" x14ac:dyDescent="0.25">
      <c r="A20" s="171">
        <v>2.02</v>
      </c>
      <c r="B20" s="240" t="s">
        <v>658</v>
      </c>
      <c r="C20" s="241" t="s">
        <v>172</v>
      </c>
      <c r="D20" s="195">
        <v>15</v>
      </c>
      <c r="E20" s="240">
        <v>29600</v>
      </c>
      <c r="F20" s="175">
        <f t="shared" si="2"/>
        <v>444000</v>
      </c>
      <c r="G20" s="266">
        <f>+BALANCE!G13</f>
        <v>6.7</v>
      </c>
      <c r="H20" s="175">
        <f>ROUND(E20*G20,0)</f>
        <v>198320</v>
      </c>
      <c r="I20" s="266">
        <v>16.8</v>
      </c>
      <c r="J20" s="175">
        <f>ROUND(E20*I20,0)</f>
        <v>497280</v>
      </c>
      <c r="K20" s="266">
        <f t="shared" si="1"/>
        <v>6.7</v>
      </c>
      <c r="L20" s="175">
        <f>ROUND(E20*K20,0)</f>
        <v>198320</v>
      </c>
      <c r="O20" s="157">
        <v>444000</v>
      </c>
      <c r="P20" s="330">
        <f t="shared" si="0"/>
        <v>0</v>
      </c>
    </row>
    <row r="21" spans="1:16" ht="20.100000000000001" customHeight="1" x14ac:dyDescent="0.25">
      <c r="A21" s="171">
        <v>2.0299999999999998</v>
      </c>
      <c r="B21" s="183" t="s">
        <v>659</v>
      </c>
      <c r="C21" s="184" t="s">
        <v>172</v>
      </c>
      <c r="D21" s="245">
        <v>62.56</v>
      </c>
      <c r="E21" s="174">
        <v>43000</v>
      </c>
      <c r="F21" s="175">
        <f>ROUND(D21*E21,0)</f>
        <v>2690080</v>
      </c>
      <c r="G21" s="266">
        <f>+BALANCE!G14</f>
        <v>18</v>
      </c>
      <c r="H21" s="175">
        <f>ROUND(E21*G21,0)</f>
        <v>774000</v>
      </c>
      <c r="I21" s="266">
        <v>66.64</v>
      </c>
      <c r="J21" s="175">
        <f>ROUND(E21*I21,0)</f>
        <v>2865520</v>
      </c>
      <c r="K21" s="266">
        <f t="shared" si="1"/>
        <v>18</v>
      </c>
      <c r="L21" s="175">
        <f>ROUND(E21*K21,0)</f>
        <v>774000</v>
      </c>
      <c r="O21" s="157">
        <v>2690080</v>
      </c>
      <c r="P21" s="330">
        <f t="shared" si="0"/>
        <v>0</v>
      </c>
    </row>
    <row r="22" spans="1:16" s="181" customFormat="1" x14ac:dyDescent="0.25">
      <c r="A22" s="178"/>
      <c r="B22" s="179" t="s">
        <v>655</v>
      </c>
      <c r="C22" s="186" t="s">
        <v>650</v>
      </c>
      <c r="D22" s="188" t="s">
        <v>650</v>
      </c>
      <c r="E22" s="187"/>
      <c r="F22" s="180">
        <f>ROUND((SUM(F19:F21)),0)</f>
        <v>4248100</v>
      </c>
      <c r="G22" s="266" t="str">
        <f>+BALANCE!G15</f>
        <v xml:space="preserve"> </v>
      </c>
      <c r="H22" s="180">
        <f>SUM(H19:H21)</f>
        <v>1451300</v>
      </c>
      <c r="I22" s="266"/>
      <c r="J22" s="180">
        <f>SUM(J19:J21)</f>
        <v>4553500</v>
      </c>
      <c r="K22" s="266" t="str">
        <f t="shared" si="1"/>
        <v xml:space="preserve"> </v>
      </c>
      <c r="L22" s="180">
        <f>SUM(L19:L21)</f>
        <v>1451300</v>
      </c>
      <c r="O22" s="181">
        <v>4248100</v>
      </c>
      <c r="P22" s="330">
        <f t="shared" si="0"/>
        <v>0</v>
      </c>
    </row>
    <row r="23" spans="1:16" s="181" customFormat="1" ht="19.5" customHeight="1" x14ac:dyDescent="0.25">
      <c r="A23" s="178">
        <v>3</v>
      </c>
      <c r="B23" s="179" t="s">
        <v>660</v>
      </c>
      <c r="C23" s="186"/>
      <c r="D23" s="188"/>
      <c r="E23" s="187"/>
      <c r="F23" s="189"/>
      <c r="G23" s="266"/>
      <c r="H23" s="189"/>
      <c r="I23" s="266"/>
      <c r="J23" s="189"/>
      <c r="K23" s="266"/>
      <c r="L23" s="189"/>
      <c r="P23" s="330">
        <f t="shared" si="0"/>
        <v>0</v>
      </c>
    </row>
    <row r="24" spans="1:16" ht="17.25" customHeight="1" x14ac:dyDescent="0.2">
      <c r="A24" s="171">
        <v>3.01</v>
      </c>
      <c r="B24" s="177" t="s">
        <v>661</v>
      </c>
      <c r="C24" s="173" t="s">
        <v>241</v>
      </c>
      <c r="D24" s="244">
        <v>31</v>
      </c>
      <c r="E24" s="174">
        <v>331400</v>
      </c>
      <c r="F24" s="175">
        <f>ROUND(D24*E24,0)</f>
        <v>10273400</v>
      </c>
      <c r="G24" s="266">
        <f>+BALANCE!G17</f>
        <v>9</v>
      </c>
      <c r="H24" s="175">
        <f>ROUND(E24*G24,0)</f>
        <v>2982600</v>
      </c>
      <c r="I24" s="266">
        <v>17</v>
      </c>
      <c r="J24" s="175">
        <f>ROUND(E24*I24,0)</f>
        <v>5633800</v>
      </c>
      <c r="K24" s="266">
        <f t="shared" si="1"/>
        <v>9</v>
      </c>
      <c r="L24" s="175">
        <f>ROUND(E24*K24,0)</f>
        <v>2982600</v>
      </c>
      <c r="O24" s="157">
        <v>10273400</v>
      </c>
      <c r="P24" s="330">
        <f t="shared" si="0"/>
        <v>0</v>
      </c>
    </row>
    <row r="25" spans="1:16" ht="27.75" customHeight="1" x14ac:dyDescent="0.2">
      <c r="A25" s="171">
        <v>3.02</v>
      </c>
      <c r="B25" s="177" t="s">
        <v>662</v>
      </c>
      <c r="C25" s="173" t="s">
        <v>241</v>
      </c>
      <c r="D25" s="244">
        <v>10</v>
      </c>
      <c r="E25" s="174">
        <v>84900</v>
      </c>
      <c r="F25" s="175">
        <f>ROUND(D25*E25,0)</f>
        <v>849000</v>
      </c>
      <c r="G25" s="266">
        <f>+BALANCE!G18</f>
        <v>10</v>
      </c>
      <c r="H25" s="175">
        <f>ROUND(E25*G25,0)</f>
        <v>849000</v>
      </c>
      <c r="I25" s="266">
        <v>32</v>
      </c>
      <c r="J25" s="175">
        <f>ROUND(E25*I25,0)</f>
        <v>2716800</v>
      </c>
      <c r="K25" s="266">
        <f t="shared" si="1"/>
        <v>10</v>
      </c>
      <c r="L25" s="175">
        <f>ROUND(E25*K25,0)</f>
        <v>849000</v>
      </c>
      <c r="O25" s="157">
        <v>849000</v>
      </c>
      <c r="P25" s="330">
        <f t="shared" si="0"/>
        <v>0</v>
      </c>
    </row>
    <row r="26" spans="1:16" ht="16.5" customHeight="1" x14ac:dyDescent="0.25">
      <c r="A26" s="171">
        <v>3.03</v>
      </c>
      <c r="B26" s="177" t="s">
        <v>663</v>
      </c>
      <c r="C26" s="185" t="s">
        <v>172</v>
      </c>
      <c r="D26" s="245">
        <v>9.3000000000000007</v>
      </c>
      <c r="E26" s="174">
        <v>581900</v>
      </c>
      <c r="F26" s="175">
        <f>ROUND(D26*E26,0)</f>
        <v>5411670</v>
      </c>
      <c r="G26" s="266">
        <f>+BALANCE!G19</f>
        <v>5.2</v>
      </c>
      <c r="H26" s="175">
        <f>ROUND(E26*G26,0)</f>
        <v>3025880</v>
      </c>
      <c r="I26" s="266">
        <v>13.3</v>
      </c>
      <c r="J26" s="175">
        <f>ROUND(E26*I26,0)</f>
        <v>7739270</v>
      </c>
      <c r="K26" s="266">
        <f t="shared" si="1"/>
        <v>5.2</v>
      </c>
      <c r="L26" s="175">
        <f>ROUND(E26*K26,0)</f>
        <v>3025880</v>
      </c>
      <c r="O26" s="157">
        <v>5411670</v>
      </c>
      <c r="P26" s="330">
        <f t="shared" si="0"/>
        <v>0</v>
      </c>
    </row>
    <row r="27" spans="1:16" s="181" customFormat="1" x14ac:dyDescent="0.25">
      <c r="A27" s="178"/>
      <c r="B27" s="186" t="s">
        <v>655</v>
      </c>
      <c r="C27" s="186" t="s">
        <v>650</v>
      </c>
      <c r="D27" s="188" t="s">
        <v>650</v>
      </c>
      <c r="E27" s="186"/>
      <c r="F27" s="180">
        <f>SUM(F24:F26)</f>
        <v>16534070</v>
      </c>
      <c r="G27" s="266" t="str">
        <f>+BALANCE!G20</f>
        <v xml:space="preserve"> </v>
      </c>
      <c r="H27" s="180">
        <f>SUM(H24:H26)</f>
        <v>6857480</v>
      </c>
      <c r="I27" s="266"/>
      <c r="J27" s="180">
        <f>SUM(J24:J26)</f>
        <v>16089870</v>
      </c>
      <c r="K27" s="266" t="str">
        <f t="shared" si="1"/>
        <v xml:space="preserve"> </v>
      </c>
      <c r="L27" s="180">
        <f>SUM(L24:L26)</f>
        <v>6857480</v>
      </c>
      <c r="O27" s="181">
        <v>16534070</v>
      </c>
      <c r="P27" s="330">
        <f t="shared" si="0"/>
        <v>0</v>
      </c>
    </row>
    <row r="28" spans="1:16" s="181" customFormat="1" ht="26.25" customHeight="1" x14ac:dyDescent="0.25">
      <c r="A28" s="178">
        <v>4</v>
      </c>
      <c r="B28" s="179" t="s">
        <v>664</v>
      </c>
      <c r="C28" s="186"/>
      <c r="D28" s="188"/>
      <c r="E28" s="187"/>
      <c r="F28" s="189"/>
      <c r="G28" s="266"/>
      <c r="H28" s="189"/>
      <c r="I28" s="266"/>
      <c r="J28" s="189"/>
      <c r="K28" s="266"/>
      <c r="L28" s="189"/>
      <c r="P28" s="330">
        <f t="shared" si="0"/>
        <v>0</v>
      </c>
    </row>
    <row r="29" spans="1:16" s="181" customFormat="1" ht="20.100000000000001" customHeight="1" x14ac:dyDescent="0.25">
      <c r="A29" s="171">
        <v>4.01</v>
      </c>
      <c r="B29" s="177" t="s">
        <v>665</v>
      </c>
      <c r="C29" s="184" t="s">
        <v>241</v>
      </c>
      <c r="D29" s="245">
        <v>7</v>
      </c>
      <c r="E29" s="174">
        <v>819400</v>
      </c>
      <c r="F29" s="175">
        <f t="shared" ref="F29:F49" si="3">ROUND(D29*E29,0)</f>
        <v>5735800</v>
      </c>
      <c r="G29" s="266">
        <f>+BALANCE!G22</f>
        <v>3</v>
      </c>
      <c r="H29" s="175">
        <f t="shared" ref="H29:H49" si="4">ROUND(E29*G29,0)</f>
        <v>2458200</v>
      </c>
      <c r="I29" s="266">
        <v>6</v>
      </c>
      <c r="J29" s="175">
        <f t="shared" ref="J29:J49" si="5">ROUND(E29*I29,0)</f>
        <v>4916400</v>
      </c>
      <c r="K29" s="266">
        <f t="shared" si="1"/>
        <v>3</v>
      </c>
      <c r="L29" s="175">
        <f t="shared" ref="L29:L49" si="6">ROUND(E29*K29,0)</f>
        <v>2458200</v>
      </c>
      <c r="O29" s="181">
        <v>5735800</v>
      </c>
      <c r="P29" s="330">
        <f t="shared" si="0"/>
        <v>0</v>
      </c>
    </row>
    <row r="30" spans="1:16" s="181" customFormat="1" ht="20.100000000000001" customHeight="1" x14ac:dyDescent="0.25">
      <c r="A30" s="171">
        <v>4.0199999999999996</v>
      </c>
      <c r="B30" s="177" t="s">
        <v>666</v>
      </c>
      <c r="C30" s="184" t="s">
        <v>241</v>
      </c>
      <c r="D30" s="245">
        <v>3</v>
      </c>
      <c r="E30" s="174">
        <v>432900</v>
      </c>
      <c r="F30" s="175">
        <f t="shared" si="3"/>
        <v>1298700</v>
      </c>
      <c r="G30" s="266">
        <f>+BALANCE!G23</f>
        <v>2</v>
      </c>
      <c r="H30" s="175">
        <f t="shared" si="4"/>
        <v>865800</v>
      </c>
      <c r="I30" s="266">
        <v>3</v>
      </c>
      <c r="J30" s="175">
        <f t="shared" si="5"/>
        <v>1298700</v>
      </c>
      <c r="K30" s="266">
        <f t="shared" si="1"/>
        <v>2</v>
      </c>
      <c r="L30" s="175">
        <f t="shared" si="6"/>
        <v>865800</v>
      </c>
      <c r="O30" s="181">
        <v>1298700</v>
      </c>
      <c r="P30" s="330">
        <f t="shared" si="0"/>
        <v>0</v>
      </c>
    </row>
    <row r="31" spans="1:16" s="181" customFormat="1" ht="20.100000000000001" customHeight="1" x14ac:dyDescent="0.25">
      <c r="A31" s="171">
        <v>4.03</v>
      </c>
      <c r="B31" s="177" t="s">
        <v>667</v>
      </c>
      <c r="C31" s="184" t="s">
        <v>241</v>
      </c>
      <c r="D31" s="245">
        <v>15</v>
      </c>
      <c r="E31" s="174">
        <v>618400</v>
      </c>
      <c r="F31" s="175">
        <f t="shared" si="3"/>
        <v>9276000</v>
      </c>
      <c r="G31" s="266">
        <f>+BALANCE!G24</f>
        <v>14</v>
      </c>
      <c r="H31" s="175">
        <f t="shared" si="4"/>
        <v>8657600</v>
      </c>
      <c r="I31" s="266">
        <v>16</v>
      </c>
      <c r="J31" s="175">
        <f t="shared" si="5"/>
        <v>9894400</v>
      </c>
      <c r="K31" s="266">
        <f t="shared" si="1"/>
        <v>14</v>
      </c>
      <c r="L31" s="175">
        <f t="shared" si="6"/>
        <v>8657600</v>
      </c>
      <c r="O31" s="181">
        <v>9276000</v>
      </c>
      <c r="P31" s="330">
        <f t="shared" si="0"/>
        <v>0</v>
      </c>
    </row>
    <row r="32" spans="1:16" s="181" customFormat="1" ht="20.100000000000001" customHeight="1" x14ac:dyDescent="0.25">
      <c r="A32" s="171">
        <v>4.04</v>
      </c>
      <c r="B32" s="177" t="s">
        <v>668</v>
      </c>
      <c r="C32" s="184" t="s">
        <v>241</v>
      </c>
      <c r="D32" s="245">
        <v>17</v>
      </c>
      <c r="E32" s="174">
        <v>1584700</v>
      </c>
      <c r="F32" s="175">
        <f t="shared" si="3"/>
        <v>26939900</v>
      </c>
      <c r="G32" s="266">
        <f>+BALANCE!G25</f>
        <v>4</v>
      </c>
      <c r="H32" s="175">
        <f t="shared" si="4"/>
        <v>6338800</v>
      </c>
      <c r="I32" s="266">
        <v>17</v>
      </c>
      <c r="J32" s="175">
        <f t="shared" si="5"/>
        <v>26939900</v>
      </c>
      <c r="K32" s="266">
        <f t="shared" si="1"/>
        <v>4</v>
      </c>
      <c r="L32" s="175">
        <f t="shared" si="6"/>
        <v>6338800</v>
      </c>
      <c r="O32" s="181">
        <v>26939900</v>
      </c>
      <c r="P32" s="330">
        <f t="shared" si="0"/>
        <v>0</v>
      </c>
    </row>
    <row r="33" spans="1:16" s="181" customFormat="1" ht="20.100000000000001" customHeight="1" x14ac:dyDescent="0.25">
      <c r="A33" s="171">
        <v>4.05</v>
      </c>
      <c r="B33" s="177" t="s">
        <v>669</v>
      </c>
      <c r="C33" s="184" t="s">
        <v>241</v>
      </c>
      <c r="D33" s="245">
        <v>2</v>
      </c>
      <c r="E33" s="174">
        <v>2319100</v>
      </c>
      <c r="F33" s="175">
        <f t="shared" si="3"/>
        <v>4638200</v>
      </c>
      <c r="G33" s="266">
        <f>+BALANCE!G26</f>
        <v>2</v>
      </c>
      <c r="H33" s="175">
        <f t="shared" si="4"/>
        <v>4638200</v>
      </c>
      <c r="I33" s="266">
        <v>5</v>
      </c>
      <c r="J33" s="175">
        <f t="shared" si="5"/>
        <v>11595500</v>
      </c>
      <c r="K33" s="266">
        <f t="shared" si="1"/>
        <v>2</v>
      </c>
      <c r="L33" s="175">
        <f t="shared" si="6"/>
        <v>4638200</v>
      </c>
      <c r="O33" s="181">
        <v>4638200</v>
      </c>
      <c r="P33" s="330">
        <f t="shared" si="0"/>
        <v>0</v>
      </c>
    </row>
    <row r="34" spans="1:16" s="181" customFormat="1" ht="20.100000000000001" customHeight="1" x14ac:dyDescent="0.25">
      <c r="A34" s="171">
        <v>4.0599999999999996</v>
      </c>
      <c r="B34" s="177" t="s">
        <v>670</v>
      </c>
      <c r="C34" s="184" t="s">
        <v>241</v>
      </c>
      <c r="D34" s="245">
        <v>1</v>
      </c>
      <c r="E34" s="174">
        <v>4545500</v>
      </c>
      <c r="F34" s="175">
        <f t="shared" si="3"/>
        <v>4545500</v>
      </c>
      <c r="G34" s="266">
        <f>+BALANCE!G27</f>
        <v>0</v>
      </c>
      <c r="H34" s="175">
        <f t="shared" si="4"/>
        <v>0</v>
      </c>
      <c r="I34" s="266">
        <v>1</v>
      </c>
      <c r="J34" s="175">
        <f t="shared" si="5"/>
        <v>4545500</v>
      </c>
      <c r="K34" s="266">
        <f t="shared" si="1"/>
        <v>0</v>
      </c>
      <c r="L34" s="175">
        <f t="shared" si="6"/>
        <v>0</v>
      </c>
      <c r="O34" s="181">
        <v>4545500</v>
      </c>
      <c r="P34" s="330">
        <f t="shared" si="0"/>
        <v>0</v>
      </c>
    </row>
    <row r="35" spans="1:16" s="181" customFormat="1" ht="20.100000000000001" customHeight="1" x14ac:dyDescent="0.25">
      <c r="A35" s="171">
        <v>4.07</v>
      </c>
      <c r="B35" s="177" t="s">
        <v>671</v>
      </c>
      <c r="C35" s="184" t="s">
        <v>241</v>
      </c>
      <c r="D35" s="245">
        <v>1</v>
      </c>
      <c r="E35" s="174">
        <v>5411300</v>
      </c>
      <c r="F35" s="175">
        <f t="shared" si="3"/>
        <v>5411300</v>
      </c>
      <c r="G35" s="266">
        <f>+BALANCE!G28</f>
        <v>1</v>
      </c>
      <c r="H35" s="175">
        <f t="shared" si="4"/>
        <v>5411300</v>
      </c>
      <c r="I35" s="266">
        <v>1</v>
      </c>
      <c r="J35" s="175">
        <f t="shared" si="5"/>
        <v>5411300</v>
      </c>
      <c r="K35" s="266">
        <f t="shared" si="1"/>
        <v>1</v>
      </c>
      <c r="L35" s="175">
        <f t="shared" si="6"/>
        <v>5411300</v>
      </c>
      <c r="O35" s="181">
        <v>5411300</v>
      </c>
      <c r="P35" s="330">
        <f t="shared" si="0"/>
        <v>0</v>
      </c>
    </row>
    <row r="36" spans="1:16" s="181" customFormat="1" ht="20.100000000000001" customHeight="1" x14ac:dyDescent="0.25">
      <c r="A36" s="171">
        <v>4.08</v>
      </c>
      <c r="B36" s="177" t="s">
        <v>672</v>
      </c>
      <c r="C36" s="184" t="s">
        <v>241</v>
      </c>
      <c r="D36" s="245">
        <v>30</v>
      </c>
      <c r="E36" s="174">
        <v>44700</v>
      </c>
      <c r="F36" s="175">
        <f t="shared" si="3"/>
        <v>1341000</v>
      </c>
      <c r="G36" s="266">
        <f>+BALANCE!G29</f>
        <v>28</v>
      </c>
      <c r="H36" s="175">
        <f t="shared" si="4"/>
        <v>1251600</v>
      </c>
      <c r="I36" s="266">
        <v>32</v>
      </c>
      <c r="J36" s="175">
        <f t="shared" si="5"/>
        <v>1430400</v>
      </c>
      <c r="K36" s="266">
        <f t="shared" si="1"/>
        <v>28</v>
      </c>
      <c r="L36" s="175">
        <f t="shared" si="6"/>
        <v>1251600</v>
      </c>
      <c r="O36" s="181">
        <v>1341000</v>
      </c>
      <c r="P36" s="330">
        <f t="shared" si="0"/>
        <v>0</v>
      </c>
    </row>
    <row r="37" spans="1:16" s="181" customFormat="1" ht="20.100000000000001" customHeight="1" x14ac:dyDescent="0.25">
      <c r="A37" s="171">
        <v>4.09</v>
      </c>
      <c r="B37" s="177" t="s">
        <v>673</v>
      </c>
      <c r="C37" s="184" t="s">
        <v>241</v>
      </c>
      <c r="D37" s="245">
        <v>6</v>
      </c>
      <c r="E37" s="174">
        <v>26100</v>
      </c>
      <c r="F37" s="175">
        <f t="shared" si="3"/>
        <v>156600</v>
      </c>
      <c r="G37" s="266">
        <f>+BALANCE!G30</f>
        <v>4</v>
      </c>
      <c r="H37" s="175">
        <f t="shared" si="4"/>
        <v>104400</v>
      </c>
      <c r="I37" s="266">
        <v>6</v>
      </c>
      <c r="J37" s="175">
        <f t="shared" si="5"/>
        <v>156600</v>
      </c>
      <c r="K37" s="266">
        <f t="shared" si="1"/>
        <v>4</v>
      </c>
      <c r="L37" s="175">
        <f t="shared" si="6"/>
        <v>104400</v>
      </c>
      <c r="O37" s="181">
        <v>156600</v>
      </c>
      <c r="P37" s="330">
        <f t="shared" si="0"/>
        <v>0</v>
      </c>
    </row>
    <row r="38" spans="1:16" s="181" customFormat="1" ht="20.100000000000001" customHeight="1" x14ac:dyDescent="0.25">
      <c r="A38" s="171">
        <v>4.0999999999999996</v>
      </c>
      <c r="B38" s="177" t="s">
        <v>674</v>
      </c>
      <c r="C38" s="184" t="s">
        <v>241</v>
      </c>
      <c r="D38" s="245">
        <v>14</v>
      </c>
      <c r="E38" s="174">
        <v>72600</v>
      </c>
      <c r="F38" s="175">
        <f t="shared" si="3"/>
        <v>1016400</v>
      </c>
      <c r="G38" s="266">
        <f>+BALANCE!G31</f>
        <v>6</v>
      </c>
      <c r="H38" s="175">
        <f t="shared" si="4"/>
        <v>435600</v>
      </c>
      <c r="I38" s="266">
        <v>12</v>
      </c>
      <c r="J38" s="175">
        <f t="shared" si="5"/>
        <v>871200</v>
      </c>
      <c r="K38" s="266">
        <f t="shared" si="1"/>
        <v>6</v>
      </c>
      <c r="L38" s="175">
        <f t="shared" si="6"/>
        <v>435600</v>
      </c>
      <c r="O38" s="181">
        <v>1016400</v>
      </c>
      <c r="P38" s="330">
        <f t="shared" si="0"/>
        <v>0</v>
      </c>
    </row>
    <row r="39" spans="1:16" s="181" customFormat="1" ht="20.100000000000001" customHeight="1" x14ac:dyDescent="0.25">
      <c r="A39" s="171">
        <v>4.1100000000000003</v>
      </c>
      <c r="B39" s="177" t="s">
        <v>675</v>
      </c>
      <c r="C39" s="184" t="s">
        <v>241</v>
      </c>
      <c r="D39" s="245">
        <v>34</v>
      </c>
      <c r="E39" s="174">
        <v>186500</v>
      </c>
      <c r="F39" s="175">
        <f t="shared" si="3"/>
        <v>6341000</v>
      </c>
      <c r="G39" s="266">
        <f>+BALANCE!G32</f>
        <v>8</v>
      </c>
      <c r="H39" s="386">
        <f t="shared" si="4"/>
        <v>1492000</v>
      </c>
      <c r="I39" s="266">
        <v>28</v>
      </c>
      <c r="J39" s="386">
        <f t="shared" si="5"/>
        <v>5222000</v>
      </c>
      <c r="K39" s="266">
        <f t="shared" si="1"/>
        <v>8</v>
      </c>
      <c r="L39" s="175">
        <f t="shared" si="6"/>
        <v>1492000</v>
      </c>
      <c r="O39" s="181">
        <v>6341000</v>
      </c>
      <c r="P39" s="330">
        <f t="shared" si="0"/>
        <v>0</v>
      </c>
    </row>
    <row r="40" spans="1:16" s="181" customFormat="1" ht="20.100000000000001" customHeight="1" x14ac:dyDescent="0.25">
      <c r="A40" s="171">
        <v>4.12</v>
      </c>
      <c r="B40" s="177" t="s">
        <v>676</v>
      </c>
      <c r="C40" s="184" t="s">
        <v>241</v>
      </c>
      <c r="D40" s="245">
        <v>4</v>
      </c>
      <c r="E40" s="174">
        <v>342700</v>
      </c>
      <c r="F40" s="175">
        <f t="shared" si="3"/>
        <v>1370800</v>
      </c>
      <c r="G40" s="266">
        <f>+BALANCE!G33</f>
        <v>4</v>
      </c>
      <c r="H40" s="175">
        <f t="shared" si="4"/>
        <v>1370800</v>
      </c>
      <c r="I40" s="266">
        <v>8</v>
      </c>
      <c r="J40" s="175">
        <f t="shared" si="5"/>
        <v>2741600</v>
      </c>
      <c r="K40" s="266">
        <f t="shared" si="1"/>
        <v>4</v>
      </c>
      <c r="L40" s="175">
        <f t="shared" si="6"/>
        <v>1370800</v>
      </c>
      <c r="O40" s="181">
        <v>1370800</v>
      </c>
      <c r="P40" s="330">
        <f t="shared" si="0"/>
        <v>0</v>
      </c>
    </row>
    <row r="41" spans="1:16" s="181" customFormat="1" ht="20.100000000000001" customHeight="1" x14ac:dyDescent="0.25">
      <c r="A41" s="171">
        <v>4.13</v>
      </c>
      <c r="B41" s="177" t="s">
        <v>677</v>
      </c>
      <c r="C41" s="184" t="s">
        <v>241</v>
      </c>
      <c r="D41" s="245">
        <v>2</v>
      </c>
      <c r="E41" s="174">
        <v>612200</v>
      </c>
      <c r="F41" s="175">
        <f t="shared" si="3"/>
        <v>1224400</v>
      </c>
      <c r="G41" s="266">
        <f>+BALANCE!G34</f>
        <v>0</v>
      </c>
      <c r="H41" s="175">
        <f t="shared" si="4"/>
        <v>0</v>
      </c>
      <c r="I41" s="266">
        <v>2</v>
      </c>
      <c r="J41" s="175">
        <f t="shared" si="5"/>
        <v>1224400</v>
      </c>
      <c r="K41" s="266">
        <f t="shared" si="1"/>
        <v>0</v>
      </c>
      <c r="L41" s="175">
        <f t="shared" si="6"/>
        <v>0</v>
      </c>
      <c r="O41" s="181">
        <v>1224400</v>
      </c>
      <c r="P41" s="330">
        <f t="shared" si="0"/>
        <v>0</v>
      </c>
    </row>
    <row r="42" spans="1:16" s="181" customFormat="1" ht="20.100000000000001" customHeight="1" x14ac:dyDescent="0.25">
      <c r="A42" s="171">
        <v>4.1399999999999997</v>
      </c>
      <c r="B42" s="177" t="s">
        <v>678</v>
      </c>
      <c r="C42" s="184" t="s">
        <v>241</v>
      </c>
      <c r="D42" s="245">
        <v>2</v>
      </c>
      <c r="E42" s="174">
        <v>948800</v>
      </c>
      <c r="F42" s="175">
        <f t="shared" si="3"/>
        <v>1897600</v>
      </c>
      <c r="G42" s="266">
        <f>+BALANCE!G35</f>
        <v>2</v>
      </c>
      <c r="H42" s="175">
        <f t="shared" si="4"/>
        <v>1897600</v>
      </c>
      <c r="I42" s="266">
        <v>2</v>
      </c>
      <c r="J42" s="175">
        <f t="shared" si="5"/>
        <v>1897600</v>
      </c>
      <c r="K42" s="266">
        <f t="shared" si="1"/>
        <v>2</v>
      </c>
      <c r="L42" s="175">
        <f t="shared" si="6"/>
        <v>1897600</v>
      </c>
      <c r="O42" s="181">
        <v>1897600</v>
      </c>
      <c r="P42" s="330">
        <f t="shared" si="0"/>
        <v>0</v>
      </c>
    </row>
    <row r="43" spans="1:16" s="181" customFormat="1" ht="20.100000000000001" customHeight="1" x14ac:dyDescent="0.25">
      <c r="A43" s="171">
        <v>4.1500000000000004</v>
      </c>
      <c r="B43" s="177" t="s">
        <v>679</v>
      </c>
      <c r="C43" s="184" t="s">
        <v>60</v>
      </c>
      <c r="D43" s="245">
        <v>14</v>
      </c>
      <c r="E43" s="174">
        <v>237100</v>
      </c>
      <c r="F43" s="175">
        <f t="shared" si="3"/>
        <v>3319400</v>
      </c>
      <c r="G43" s="266">
        <f>+BALANCE!G36</f>
        <v>0</v>
      </c>
      <c r="H43" s="175">
        <f t="shared" si="4"/>
        <v>0</v>
      </c>
      <c r="I43" s="266">
        <v>0</v>
      </c>
      <c r="J43" s="175">
        <f t="shared" si="5"/>
        <v>0</v>
      </c>
      <c r="K43" s="266">
        <f t="shared" si="1"/>
        <v>0</v>
      </c>
      <c r="L43" s="175">
        <f t="shared" si="6"/>
        <v>0</v>
      </c>
      <c r="O43" s="181">
        <v>3319400</v>
      </c>
      <c r="P43" s="330">
        <f t="shared" si="0"/>
        <v>0</v>
      </c>
    </row>
    <row r="44" spans="1:16" s="181" customFormat="1" ht="20.100000000000001" customHeight="1" x14ac:dyDescent="0.25">
      <c r="A44" s="171">
        <v>4.16</v>
      </c>
      <c r="B44" s="177" t="s">
        <v>680</v>
      </c>
      <c r="C44" s="184" t="s">
        <v>60</v>
      </c>
      <c r="D44" s="245">
        <v>6</v>
      </c>
      <c r="E44" s="174">
        <v>71000</v>
      </c>
      <c r="F44" s="175">
        <f t="shared" si="3"/>
        <v>426000</v>
      </c>
      <c r="G44" s="266">
        <f>+BALANCE!G37</f>
        <v>0</v>
      </c>
      <c r="H44" s="175">
        <f t="shared" si="4"/>
        <v>0</v>
      </c>
      <c r="I44" s="266">
        <v>0</v>
      </c>
      <c r="J44" s="175">
        <f t="shared" si="5"/>
        <v>0</v>
      </c>
      <c r="K44" s="266">
        <f t="shared" si="1"/>
        <v>0</v>
      </c>
      <c r="L44" s="175">
        <f t="shared" si="6"/>
        <v>0</v>
      </c>
      <c r="O44" s="181">
        <v>426000</v>
      </c>
      <c r="P44" s="330">
        <f t="shared" si="0"/>
        <v>0</v>
      </c>
    </row>
    <row r="45" spans="1:16" s="181" customFormat="1" ht="20.100000000000001" customHeight="1" x14ac:dyDescent="0.25">
      <c r="A45" s="171">
        <v>4.17</v>
      </c>
      <c r="B45" s="177" t="s">
        <v>681</v>
      </c>
      <c r="C45" s="184" t="s">
        <v>60</v>
      </c>
      <c r="D45" s="245">
        <v>30</v>
      </c>
      <c r="E45" s="174">
        <v>146800</v>
      </c>
      <c r="F45" s="175">
        <f t="shared" si="3"/>
        <v>4404000</v>
      </c>
      <c r="G45" s="266">
        <f>+BALANCE!G38</f>
        <v>0</v>
      </c>
      <c r="H45" s="175">
        <f t="shared" si="4"/>
        <v>0</v>
      </c>
      <c r="I45" s="266">
        <v>0</v>
      </c>
      <c r="J45" s="175">
        <f t="shared" si="5"/>
        <v>0</v>
      </c>
      <c r="K45" s="266">
        <f t="shared" si="1"/>
        <v>0</v>
      </c>
      <c r="L45" s="175">
        <f t="shared" si="6"/>
        <v>0</v>
      </c>
      <c r="O45" s="181">
        <v>4404000</v>
      </c>
      <c r="P45" s="330">
        <f t="shared" ref="P45:P60" si="7">+F45-O45</f>
        <v>0</v>
      </c>
    </row>
    <row r="46" spans="1:16" s="181" customFormat="1" ht="20.100000000000001" customHeight="1" x14ac:dyDescent="0.25">
      <c r="A46" s="171">
        <v>4.18</v>
      </c>
      <c r="B46" s="177" t="s">
        <v>682</v>
      </c>
      <c r="C46" s="184" t="s">
        <v>60</v>
      </c>
      <c r="D46" s="245">
        <v>34</v>
      </c>
      <c r="E46" s="174">
        <v>113900</v>
      </c>
      <c r="F46" s="175">
        <f t="shared" si="3"/>
        <v>3872600</v>
      </c>
      <c r="G46" s="266">
        <f>+BALANCE!G39</f>
        <v>0</v>
      </c>
      <c r="H46" s="175">
        <f t="shared" si="4"/>
        <v>0</v>
      </c>
      <c r="I46" s="266">
        <v>0</v>
      </c>
      <c r="J46" s="175">
        <f t="shared" si="5"/>
        <v>0</v>
      </c>
      <c r="K46" s="266">
        <f t="shared" si="1"/>
        <v>0</v>
      </c>
      <c r="L46" s="175">
        <f t="shared" si="6"/>
        <v>0</v>
      </c>
      <c r="O46" s="181">
        <v>3872600</v>
      </c>
      <c r="P46" s="330">
        <f t="shared" si="7"/>
        <v>0</v>
      </c>
    </row>
    <row r="47" spans="1:16" s="181" customFormat="1" ht="21.95" customHeight="1" x14ac:dyDescent="0.25">
      <c r="A47" s="171">
        <v>4.1900000000000004</v>
      </c>
      <c r="B47" s="177" t="s">
        <v>683</v>
      </c>
      <c r="C47" s="184" t="s">
        <v>60</v>
      </c>
      <c r="D47" s="245">
        <v>4</v>
      </c>
      <c r="E47" s="174">
        <v>183300</v>
      </c>
      <c r="F47" s="175">
        <f t="shared" si="3"/>
        <v>733200</v>
      </c>
      <c r="G47" s="266">
        <f>+BALANCE!G40</f>
        <v>0</v>
      </c>
      <c r="H47" s="175">
        <f t="shared" si="4"/>
        <v>0</v>
      </c>
      <c r="I47" s="266">
        <v>0</v>
      </c>
      <c r="J47" s="175">
        <f t="shared" si="5"/>
        <v>0</v>
      </c>
      <c r="K47" s="266">
        <f t="shared" si="1"/>
        <v>0</v>
      </c>
      <c r="L47" s="175">
        <f t="shared" si="6"/>
        <v>0</v>
      </c>
      <c r="O47" s="181">
        <v>733200</v>
      </c>
      <c r="P47" s="330">
        <f t="shared" si="7"/>
        <v>0</v>
      </c>
    </row>
    <row r="48" spans="1:16" s="181" customFormat="1" ht="21.95" customHeight="1" x14ac:dyDescent="0.25">
      <c r="A48" s="171">
        <v>4.2</v>
      </c>
      <c r="B48" s="177" t="s">
        <v>684</v>
      </c>
      <c r="C48" s="184" t="s">
        <v>60</v>
      </c>
      <c r="D48" s="245">
        <v>2</v>
      </c>
      <c r="E48" s="174">
        <v>278200</v>
      </c>
      <c r="F48" s="175">
        <f t="shared" si="3"/>
        <v>556400</v>
      </c>
      <c r="G48" s="266">
        <f>+BALANCE!G41</f>
        <v>0</v>
      </c>
      <c r="H48" s="175">
        <f t="shared" si="4"/>
        <v>0</v>
      </c>
      <c r="I48" s="266">
        <v>0</v>
      </c>
      <c r="J48" s="175">
        <f t="shared" si="5"/>
        <v>0</v>
      </c>
      <c r="K48" s="266">
        <f t="shared" si="1"/>
        <v>0</v>
      </c>
      <c r="L48" s="175">
        <f t="shared" si="6"/>
        <v>0</v>
      </c>
      <c r="O48" s="181">
        <v>556400</v>
      </c>
      <c r="P48" s="330">
        <f t="shared" si="7"/>
        <v>0</v>
      </c>
    </row>
    <row r="49" spans="1:20" s="181" customFormat="1" ht="21.6" customHeight="1" x14ac:dyDescent="0.25">
      <c r="A49" s="171">
        <v>4.21</v>
      </c>
      <c r="B49" s="177" t="s">
        <v>685</v>
      </c>
      <c r="C49" s="184" t="s">
        <v>60</v>
      </c>
      <c r="D49" s="245">
        <v>2</v>
      </c>
      <c r="E49" s="174">
        <v>381800</v>
      </c>
      <c r="F49" s="175">
        <f t="shared" si="3"/>
        <v>763600</v>
      </c>
      <c r="G49" s="266">
        <f>+BALANCE!G42</f>
        <v>0</v>
      </c>
      <c r="H49" s="175">
        <f t="shared" si="4"/>
        <v>0</v>
      </c>
      <c r="I49" s="266">
        <v>0</v>
      </c>
      <c r="J49" s="175">
        <f t="shared" si="5"/>
        <v>0</v>
      </c>
      <c r="K49" s="266">
        <f t="shared" si="1"/>
        <v>0</v>
      </c>
      <c r="L49" s="175">
        <f t="shared" si="6"/>
        <v>0</v>
      </c>
      <c r="O49" s="181">
        <v>763600</v>
      </c>
      <c r="P49" s="330">
        <f t="shared" si="7"/>
        <v>0</v>
      </c>
    </row>
    <row r="50" spans="1:20" s="181" customFormat="1" ht="15.6" customHeight="1" x14ac:dyDescent="0.25">
      <c r="A50" s="190"/>
      <c r="B50" s="179" t="s">
        <v>655</v>
      </c>
      <c r="C50" s="186" t="s">
        <v>650</v>
      </c>
      <c r="D50" s="188" t="s">
        <v>650</v>
      </c>
      <c r="E50" s="187"/>
      <c r="F50" s="180">
        <f>SUM(F29:F49)</f>
        <v>85268400</v>
      </c>
      <c r="G50" s="266" t="str">
        <f>+BALANCE!G43</f>
        <v xml:space="preserve"> </v>
      </c>
      <c r="H50" s="180">
        <f>SUM(H29:H49)</f>
        <v>34921900</v>
      </c>
      <c r="I50" s="266"/>
      <c r="J50" s="180">
        <f>SUM(J29:J49)</f>
        <v>78145500</v>
      </c>
      <c r="K50" s="266" t="str">
        <f t="shared" si="1"/>
        <v xml:space="preserve"> </v>
      </c>
      <c r="L50" s="180">
        <f>SUM(L29:L49)</f>
        <v>34921900</v>
      </c>
      <c r="O50" s="181">
        <v>85268400</v>
      </c>
      <c r="P50" s="330">
        <f t="shared" si="7"/>
        <v>0</v>
      </c>
    </row>
    <row r="51" spans="1:20" s="181" customFormat="1" ht="18.75" customHeight="1" x14ac:dyDescent="0.25">
      <c r="A51" s="178">
        <v>5</v>
      </c>
      <c r="B51" s="179" t="s">
        <v>686</v>
      </c>
      <c r="C51" s="186"/>
      <c r="D51" s="188"/>
      <c r="E51" s="186"/>
      <c r="F51" s="189"/>
      <c r="G51" s="266"/>
      <c r="H51" s="189"/>
      <c r="I51" s="266"/>
      <c r="J51" s="189"/>
      <c r="K51" s="266"/>
      <c r="L51" s="189"/>
      <c r="P51" s="330">
        <f t="shared" si="7"/>
        <v>0</v>
      </c>
    </row>
    <row r="52" spans="1:20" ht="18.75" customHeight="1" x14ac:dyDescent="0.25">
      <c r="A52" s="171">
        <v>5.01</v>
      </c>
      <c r="B52" s="194" t="s">
        <v>687</v>
      </c>
      <c r="C52" s="241" t="s">
        <v>241</v>
      </c>
      <c r="D52" s="195">
        <v>46</v>
      </c>
      <c r="E52" s="174">
        <v>37200</v>
      </c>
      <c r="F52" s="175">
        <f>ROUND(D52*E52,0)</f>
        <v>1711200</v>
      </c>
      <c r="G52" s="266">
        <f>+BALANCE!G45</f>
        <v>26</v>
      </c>
      <c r="H52" s="175">
        <f>ROUND(E52*G52,0)</f>
        <v>967200</v>
      </c>
      <c r="I52" s="266">
        <v>49</v>
      </c>
      <c r="J52" s="175">
        <f>ROUND(E52*I52,0)</f>
        <v>1822800</v>
      </c>
      <c r="K52" s="266">
        <f t="shared" si="1"/>
        <v>26</v>
      </c>
      <c r="L52" s="175">
        <f>ROUND(E52*K52,0)</f>
        <v>967200</v>
      </c>
      <c r="O52" s="157">
        <v>1711200</v>
      </c>
      <c r="P52" s="330">
        <f t="shared" si="7"/>
        <v>0</v>
      </c>
    </row>
    <row r="53" spans="1:20" ht="16.5" customHeight="1" x14ac:dyDescent="0.2">
      <c r="A53" s="171">
        <v>5.0199999999999996</v>
      </c>
      <c r="B53" s="192" t="s">
        <v>688</v>
      </c>
      <c r="C53" s="173" t="s">
        <v>689</v>
      </c>
      <c r="D53" s="244">
        <v>1</v>
      </c>
      <c r="E53" s="174">
        <v>1499100</v>
      </c>
      <c r="F53" s="175">
        <f>ROUND(D53*E53,0)</f>
        <v>1499100</v>
      </c>
      <c r="G53" s="266">
        <f>+BALANCE!G46</f>
        <v>0</v>
      </c>
      <c r="H53" s="175">
        <f>ROUND(E53*G53,0)</f>
        <v>0</v>
      </c>
      <c r="I53" s="266">
        <v>1</v>
      </c>
      <c r="J53" s="175">
        <f>ROUND(E53*I53,0)</f>
        <v>1499100</v>
      </c>
      <c r="K53" s="266">
        <f t="shared" si="1"/>
        <v>0</v>
      </c>
      <c r="L53" s="175">
        <f>ROUND(E53*K53,0)</f>
        <v>0</v>
      </c>
      <c r="O53" s="157">
        <v>1499100</v>
      </c>
      <c r="P53" s="330">
        <f t="shared" si="7"/>
        <v>0</v>
      </c>
    </row>
    <row r="54" spans="1:20" s="181" customFormat="1" ht="15.6" customHeight="1" x14ac:dyDescent="0.25">
      <c r="A54" s="178"/>
      <c r="B54" s="186"/>
      <c r="C54" s="186"/>
      <c r="D54" s="188"/>
      <c r="E54" s="186" t="s">
        <v>655</v>
      </c>
      <c r="F54" s="180">
        <f>SUM(F52:F53)</f>
        <v>3210300</v>
      </c>
      <c r="G54" s="267"/>
      <c r="H54" s="180">
        <f>SUM(H52:H53)</f>
        <v>967200</v>
      </c>
      <c r="I54" s="267"/>
      <c r="J54" s="180">
        <f>SUM(J52:J53)</f>
        <v>3321900</v>
      </c>
      <c r="K54" s="266"/>
      <c r="L54" s="180">
        <f>SUM(L52:L53)</f>
        <v>967200</v>
      </c>
      <c r="O54" s="181">
        <v>3210300</v>
      </c>
      <c r="P54" s="330">
        <f t="shared" si="7"/>
        <v>0</v>
      </c>
    </row>
    <row r="55" spans="1:20" s="181" customFormat="1" ht="18" customHeight="1" x14ac:dyDescent="0.25">
      <c r="A55" s="178">
        <v>7</v>
      </c>
      <c r="B55" s="193" t="s">
        <v>774</v>
      </c>
      <c r="C55" s="178"/>
      <c r="D55" s="188"/>
      <c r="E55" s="186"/>
      <c r="F55" s="189"/>
      <c r="G55" s="267"/>
      <c r="H55" s="189"/>
      <c r="I55" s="267"/>
      <c r="J55" s="189"/>
      <c r="K55" s="266"/>
      <c r="L55" s="189"/>
      <c r="P55" s="330">
        <f t="shared" si="7"/>
        <v>0</v>
      </c>
    </row>
    <row r="56" spans="1:20" s="181" customFormat="1" ht="13.9" customHeight="1" x14ac:dyDescent="0.25">
      <c r="A56" s="171">
        <v>6.01</v>
      </c>
      <c r="B56" s="177" t="s">
        <v>835</v>
      </c>
      <c r="C56" s="171" t="s">
        <v>241</v>
      </c>
      <c r="D56" s="195"/>
      <c r="E56" s="174">
        <f>+'NP APU'!K396</f>
        <v>86900</v>
      </c>
      <c r="F56" s="175">
        <v>0</v>
      </c>
      <c r="G56" s="266">
        <v>0</v>
      </c>
      <c r="H56" s="175">
        <f t="shared" ref="H56:H62" si="8">G56*E56</f>
        <v>0</v>
      </c>
      <c r="I56" s="266">
        <v>5</v>
      </c>
      <c r="J56" s="175">
        <f>+I56*E56</f>
        <v>434500</v>
      </c>
      <c r="K56" s="266">
        <f t="shared" ref="K56:K62" si="9">+G56</f>
        <v>0</v>
      </c>
      <c r="L56" s="175">
        <f t="shared" ref="L56:L62" si="10">K56*E56</f>
        <v>0</v>
      </c>
      <c r="O56" s="181">
        <v>0</v>
      </c>
      <c r="P56" s="330">
        <f t="shared" si="7"/>
        <v>0</v>
      </c>
    </row>
    <row r="57" spans="1:20" s="181" customFormat="1" ht="13.9" customHeight="1" x14ac:dyDescent="0.25">
      <c r="A57" s="171">
        <v>6.02</v>
      </c>
      <c r="B57" s="177" t="s">
        <v>836</v>
      </c>
      <c r="C57" s="171" t="s">
        <v>241</v>
      </c>
      <c r="D57" s="195"/>
      <c r="E57" s="174">
        <f>+'NP APU'!K432</f>
        <v>40941</v>
      </c>
      <c r="F57" s="175">
        <v>0</v>
      </c>
      <c r="G57" s="266">
        <v>0</v>
      </c>
      <c r="H57" s="175">
        <f t="shared" si="8"/>
        <v>0</v>
      </c>
      <c r="I57" s="266">
        <v>3</v>
      </c>
      <c r="J57" s="175">
        <f t="shared" ref="J57:J62" si="11">+I57*E57</f>
        <v>122823</v>
      </c>
      <c r="K57" s="266">
        <f t="shared" si="9"/>
        <v>0</v>
      </c>
      <c r="L57" s="175">
        <f t="shared" si="10"/>
        <v>0</v>
      </c>
      <c r="O57" s="181">
        <v>0</v>
      </c>
      <c r="P57" s="330">
        <f t="shared" si="7"/>
        <v>0</v>
      </c>
    </row>
    <row r="58" spans="1:20" s="181" customFormat="1" ht="13.9" customHeight="1" x14ac:dyDescent="0.25">
      <c r="A58" s="171">
        <v>6.03</v>
      </c>
      <c r="B58" s="177" t="s">
        <v>837</v>
      </c>
      <c r="C58" s="171" t="s">
        <v>241</v>
      </c>
      <c r="D58" s="195"/>
      <c r="E58" s="174">
        <f>+'NP APU'!K468</f>
        <v>65175</v>
      </c>
      <c r="F58" s="175">
        <v>0</v>
      </c>
      <c r="G58" s="266">
        <v>0</v>
      </c>
      <c r="H58" s="175">
        <f t="shared" si="8"/>
        <v>0</v>
      </c>
      <c r="I58" s="266">
        <v>15</v>
      </c>
      <c r="J58" s="175">
        <f t="shared" si="11"/>
        <v>977625</v>
      </c>
      <c r="K58" s="266">
        <f t="shared" si="9"/>
        <v>0</v>
      </c>
      <c r="L58" s="175">
        <f t="shared" si="10"/>
        <v>0</v>
      </c>
      <c r="O58" s="181">
        <v>0</v>
      </c>
      <c r="P58" s="330">
        <f t="shared" si="7"/>
        <v>0</v>
      </c>
    </row>
    <row r="59" spans="1:20" s="181" customFormat="1" ht="13.9" customHeight="1" x14ac:dyDescent="0.25">
      <c r="A59" s="171">
        <v>6.04</v>
      </c>
      <c r="B59" s="177" t="s">
        <v>838</v>
      </c>
      <c r="C59" s="171" t="s">
        <v>241</v>
      </c>
      <c r="D59" s="195"/>
      <c r="E59" s="174">
        <f>+'NP APU'!K502</f>
        <v>158348</v>
      </c>
      <c r="F59" s="175">
        <v>0</v>
      </c>
      <c r="G59" s="266">
        <v>0</v>
      </c>
      <c r="H59" s="175">
        <f t="shared" si="8"/>
        <v>0</v>
      </c>
      <c r="I59" s="266">
        <v>15</v>
      </c>
      <c r="J59" s="175">
        <f t="shared" si="11"/>
        <v>2375220</v>
      </c>
      <c r="K59" s="266">
        <f t="shared" si="9"/>
        <v>0</v>
      </c>
      <c r="L59" s="175">
        <f t="shared" si="10"/>
        <v>0</v>
      </c>
      <c r="O59" s="181">
        <v>0</v>
      </c>
      <c r="P59" s="330">
        <f t="shared" si="7"/>
        <v>0</v>
      </c>
    </row>
    <row r="60" spans="1:20" s="181" customFormat="1" ht="13.9" customHeight="1" x14ac:dyDescent="0.25">
      <c r="A60" s="171">
        <v>6.05</v>
      </c>
      <c r="B60" s="177" t="s">
        <v>839</v>
      </c>
      <c r="C60" s="171" t="s">
        <v>241</v>
      </c>
      <c r="D60" s="195"/>
      <c r="E60" s="174">
        <f>+'NP APU'!K536</f>
        <v>261131</v>
      </c>
      <c r="F60" s="175">
        <v>0</v>
      </c>
      <c r="G60" s="266">
        <v>0</v>
      </c>
      <c r="H60" s="175">
        <f t="shared" si="8"/>
        <v>0</v>
      </c>
      <c r="I60" s="266">
        <v>2</v>
      </c>
      <c r="J60" s="175">
        <f t="shared" si="11"/>
        <v>522262</v>
      </c>
      <c r="K60" s="266">
        <f t="shared" si="9"/>
        <v>0</v>
      </c>
      <c r="L60" s="175">
        <f t="shared" si="10"/>
        <v>0</v>
      </c>
      <c r="O60" s="181">
        <v>0</v>
      </c>
      <c r="P60" s="330">
        <f t="shared" si="7"/>
        <v>0</v>
      </c>
    </row>
    <row r="61" spans="1:20" s="181" customFormat="1" ht="12.75" x14ac:dyDescent="0.25">
      <c r="A61" s="171">
        <v>6.08</v>
      </c>
      <c r="B61" s="177" t="s">
        <v>848</v>
      </c>
      <c r="C61" s="171" t="s">
        <v>241</v>
      </c>
      <c r="D61" s="347"/>
      <c r="E61" s="348">
        <f>+'NP APU'!K572</f>
        <v>298666</v>
      </c>
      <c r="F61" s="175">
        <v>0</v>
      </c>
      <c r="G61" s="266">
        <v>0</v>
      </c>
      <c r="H61" s="175">
        <f t="shared" si="8"/>
        <v>0</v>
      </c>
      <c r="I61" s="266">
        <v>6</v>
      </c>
      <c r="J61" s="175">
        <f t="shared" si="11"/>
        <v>1791996</v>
      </c>
      <c r="K61" s="266">
        <f t="shared" si="9"/>
        <v>0</v>
      </c>
      <c r="L61" s="175">
        <f t="shared" si="10"/>
        <v>0</v>
      </c>
      <c r="M61" s="350"/>
      <c r="N61" s="349"/>
      <c r="O61" s="329"/>
      <c r="T61" s="329"/>
    </row>
    <row r="62" spans="1:20" s="181" customFormat="1" ht="12.75" x14ac:dyDescent="0.25">
      <c r="A62" s="171">
        <v>6.09</v>
      </c>
      <c r="B62" s="177" t="s">
        <v>849</v>
      </c>
      <c r="C62" s="171" t="s">
        <v>241</v>
      </c>
      <c r="D62" s="347"/>
      <c r="E62" s="348">
        <f>+'NP APU'!K606</f>
        <v>412399</v>
      </c>
      <c r="F62" s="175">
        <v>0</v>
      </c>
      <c r="G62" s="266">
        <v>0</v>
      </c>
      <c r="H62" s="175">
        <f t="shared" si="8"/>
        <v>0</v>
      </c>
      <c r="I62" s="350">
        <v>2</v>
      </c>
      <c r="J62" s="175">
        <f t="shared" si="11"/>
        <v>824798</v>
      </c>
      <c r="K62" s="266">
        <f t="shared" si="9"/>
        <v>0</v>
      </c>
      <c r="L62" s="175">
        <f t="shared" si="10"/>
        <v>0</v>
      </c>
      <c r="M62" s="383"/>
      <c r="N62" s="384"/>
      <c r="O62" s="329"/>
      <c r="T62" s="329"/>
    </row>
    <row r="63" spans="1:20" s="181" customFormat="1" ht="12.75" thickBot="1" x14ac:dyDescent="0.3">
      <c r="A63" s="196"/>
      <c r="B63" s="197"/>
      <c r="C63" s="196"/>
      <c r="D63" s="246"/>
      <c r="E63" s="198" t="s">
        <v>655</v>
      </c>
      <c r="F63" s="180">
        <f>SUM(F56:F62)</f>
        <v>0</v>
      </c>
      <c r="G63" s="256"/>
      <c r="H63" s="199">
        <f>SUM(H56:H62)</f>
        <v>0</v>
      </c>
      <c r="I63" s="256"/>
      <c r="J63" s="199">
        <f>SUM(J56:J62)</f>
        <v>7049224</v>
      </c>
      <c r="K63" s="269"/>
      <c r="L63" s="199">
        <f>SUM(L56:L62)</f>
        <v>0</v>
      </c>
      <c r="O63" s="181">
        <v>0</v>
      </c>
      <c r="P63" s="330">
        <f t="shared" ref="P63:P69" si="12">+F63-O63</f>
        <v>0</v>
      </c>
    </row>
    <row r="64" spans="1:20" ht="12.75" thickBot="1" x14ac:dyDescent="0.3">
      <c r="A64" s="316"/>
      <c r="B64" s="317"/>
      <c r="C64" s="317"/>
      <c r="D64" s="317"/>
      <c r="E64" s="317"/>
      <c r="F64" s="317"/>
      <c r="G64" s="317"/>
      <c r="H64" s="317"/>
      <c r="I64" s="317"/>
      <c r="J64" s="317"/>
      <c r="K64" s="317"/>
      <c r="L64" s="318"/>
      <c r="P64" s="330">
        <f t="shared" si="12"/>
        <v>0</v>
      </c>
    </row>
    <row r="65" spans="1:16" ht="17.25" customHeight="1" x14ac:dyDescent="0.25">
      <c r="A65" s="538" t="s">
        <v>783</v>
      </c>
      <c r="B65" s="539"/>
      <c r="C65" s="200"/>
      <c r="D65" s="275"/>
      <c r="E65" s="201"/>
      <c r="F65" s="202">
        <f>SUM(F17,F22,F50,F27,F54,F63)</f>
        <v>111168867</v>
      </c>
      <c r="G65" s="257"/>
      <c r="H65" s="202">
        <f>SUM(H17,H22,H50,H27,H54,H63)</f>
        <v>44610392</v>
      </c>
      <c r="I65" s="257"/>
      <c r="J65" s="202">
        <f>SUM(J17,J22,J50,J27,J54,J63)</f>
        <v>111089347</v>
      </c>
      <c r="K65" s="270"/>
      <c r="L65" s="202">
        <f>SUM(L17,L22,L50,L27,L54,L63)</f>
        <v>44610392</v>
      </c>
      <c r="O65" s="157">
        <v>111168867</v>
      </c>
      <c r="P65" s="330">
        <f t="shared" si="12"/>
        <v>0</v>
      </c>
    </row>
    <row r="66" spans="1:16" ht="19.5" customHeight="1" x14ac:dyDescent="0.25">
      <c r="A66" s="502" t="s">
        <v>784</v>
      </c>
      <c r="B66" s="503"/>
      <c r="C66" s="203"/>
      <c r="D66" s="277">
        <v>0.28000000000000003</v>
      </c>
      <c r="E66" s="204"/>
      <c r="F66" s="205">
        <f>ROUND(F65*D66,2)</f>
        <v>31127282.760000002</v>
      </c>
      <c r="G66" s="258"/>
      <c r="H66" s="205">
        <f>ROUND(H65*D66,2)</f>
        <v>12490909.76</v>
      </c>
      <c r="I66" s="258"/>
      <c r="J66" s="205">
        <f>ROUND(J65*D66,2)</f>
        <v>31105017.16</v>
      </c>
      <c r="K66" s="258"/>
      <c r="L66" s="205">
        <f>ROUND(L65*D66,2)</f>
        <v>12490909.76</v>
      </c>
      <c r="O66" s="157">
        <v>31127282.760000002</v>
      </c>
      <c r="P66" s="330">
        <f t="shared" si="12"/>
        <v>0</v>
      </c>
    </row>
    <row r="67" spans="1:16" ht="18.75" customHeight="1" x14ac:dyDescent="0.25">
      <c r="A67" s="504" t="s">
        <v>785</v>
      </c>
      <c r="B67" s="505"/>
      <c r="C67" s="206"/>
      <c r="D67" s="278">
        <v>0.02</v>
      </c>
      <c r="E67" s="207"/>
      <c r="F67" s="205">
        <f>ROUND(F65*D67,2)</f>
        <v>2223377.34</v>
      </c>
      <c r="G67" s="259"/>
      <c r="H67" s="205">
        <f>ROUND(H65*D67,2)</f>
        <v>892207.84</v>
      </c>
      <c r="I67" s="259"/>
      <c r="J67" s="205">
        <f>ROUND(J65*D67,2)</f>
        <v>2221786.94</v>
      </c>
      <c r="K67" s="259"/>
      <c r="L67" s="205">
        <f>ROUND(L65*D67,2)</f>
        <v>892207.84</v>
      </c>
      <c r="O67" s="157">
        <v>2223377.34</v>
      </c>
      <c r="P67" s="330">
        <f t="shared" si="12"/>
        <v>0</v>
      </c>
    </row>
    <row r="68" spans="1:16" ht="17.25" customHeight="1" x14ac:dyDescent="0.25">
      <c r="A68" s="502" t="s">
        <v>786</v>
      </c>
      <c r="B68" s="503"/>
      <c r="C68" s="203"/>
      <c r="D68" s="277">
        <v>0.05</v>
      </c>
      <c r="E68" s="209"/>
      <c r="F68" s="205">
        <f>ROUND(F65*D68,2)</f>
        <v>5558443.3499999996</v>
      </c>
      <c r="G68" s="260"/>
      <c r="H68" s="205">
        <f>ROUND(H65*D68,2)</f>
        <v>2230519.6</v>
      </c>
      <c r="I68" s="260"/>
      <c r="J68" s="205">
        <f>ROUND(J65*D68,2)</f>
        <v>5554467.3499999996</v>
      </c>
      <c r="K68" s="260"/>
      <c r="L68" s="205">
        <f>ROUND(L65*D68,2)</f>
        <v>2230519.6</v>
      </c>
      <c r="O68" s="157">
        <v>5558443.3499999996</v>
      </c>
      <c r="P68" s="330">
        <f t="shared" si="12"/>
        <v>0</v>
      </c>
    </row>
    <row r="69" spans="1:16" ht="18.75" customHeight="1" x14ac:dyDescent="0.25">
      <c r="A69" s="504" t="s">
        <v>787</v>
      </c>
      <c r="B69" s="505"/>
      <c r="C69" s="211"/>
      <c r="D69" s="279"/>
      <c r="E69" s="212"/>
      <c r="F69" s="213">
        <f>ROUND(F65+F66+F67+F68,2)</f>
        <v>150077970.44999999</v>
      </c>
      <c r="G69" s="259"/>
      <c r="H69" s="213">
        <f>ROUND(H65+H66+H67+H68,2)</f>
        <v>60224029.200000003</v>
      </c>
      <c r="I69" s="259"/>
      <c r="J69" s="213">
        <f>ROUND(J65+J66+J67+J68,2)</f>
        <v>149970618.44999999</v>
      </c>
      <c r="K69" s="259"/>
      <c r="L69" s="213">
        <f>ROUND(L65+L66+L67+L68,2)</f>
        <v>60224029.200000003</v>
      </c>
      <c r="O69" s="157">
        <v>150077970.44999999</v>
      </c>
      <c r="P69" s="330">
        <f t="shared" si="12"/>
        <v>0</v>
      </c>
    </row>
    <row r="70" spans="1:16" ht="21.95" hidden="1" customHeight="1" thickBot="1" x14ac:dyDescent="0.3">
      <c r="A70" s="522" t="s">
        <v>788</v>
      </c>
      <c r="B70" s="523"/>
      <c r="C70" s="273"/>
      <c r="D70" s="248">
        <v>0.2</v>
      </c>
      <c r="E70" s="214"/>
      <c r="F70" s="215">
        <f>ROUND(F69*D70,0)</f>
        <v>30015594</v>
      </c>
      <c r="G70" s="268"/>
      <c r="H70" s="217"/>
      <c r="I70" s="309"/>
      <c r="J70" s="309"/>
      <c r="K70" s="268"/>
      <c r="L70" s="218"/>
    </row>
    <row r="71" spans="1:16" ht="21.95" hidden="1" customHeight="1" x14ac:dyDescent="0.25">
      <c r="A71" s="507" t="s">
        <v>789</v>
      </c>
      <c r="B71" s="508"/>
      <c r="C71" s="509"/>
      <c r="D71" s="510"/>
      <c r="E71" s="510"/>
      <c r="F71" s="510"/>
      <c r="G71" s="511"/>
      <c r="H71" s="219">
        <f>H69*D70</f>
        <v>12044805.840000002</v>
      </c>
      <c r="I71" s="310"/>
      <c r="J71" s="310"/>
      <c r="K71" s="271"/>
      <c r="L71" s="219">
        <f>L69*D70</f>
        <v>12044805.840000002</v>
      </c>
    </row>
    <row r="72" spans="1:16" ht="21.95" hidden="1" customHeight="1" x14ac:dyDescent="0.25">
      <c r="A72" s="512" t="s">
        <v>790</v>
      </c>
      <c r="B72" s="513"/>
      <c r="C72" s="514"/>
      <c r="D72" s="515"/>
      <c r="E72" s="515"/>
      <c r="F72" s="515"/>
      <c r="G72" s="516"/>
      <c r="H72" s="205">
        <f>F70-H71</f>
        <v>17970788.159999996</v>
      </c>
      <c r="I72" s="307"/>
      <c r="J72" s="307"/>
      <c r="K72" s="260"/>
      <c r="L72" s="205">
        <f>F70-L71</f>
        <v>17970788.159999996</v>
      </c>
    </row>
    <row r="73" spans="1:16" ht="21.95" hidden="1" customHeight="1" thickBot="1" x14ac:dyDescent="0.3">
      <c r="A73" s="517" t="s">
        <v>791</v>
      </c>
      <c r="B73" s="518"/>
      <c r="C73" s="519"/>
      <c r="D73" s="520"/>
      <c r="E73" s="520"/>
      <c r="F73" s="520"/>
      <c r="G73" s="521"/>
      <c r="H73" s="220">
        <f>H69-H71</f>
        <v>48179223.359999999</v>
      </c>
      <c r="I73" s="311"/>
      <c r="J73" s="311"/>
      <c r="K73" s="272"/>
      <c r="L73" s="220">
        <f>L69-L71</f>
        <v>48179223.359999999</v>
      </c>
    </row>
    <row r="74" spans="1:16" ht="28.5" customHeight="1" x14ac:dyDescent="0.25">
      <c r="A74" s="224"/>
      <c r="H74" s="225"/>
      <c r="I74" s="225"/>
      <c r="J74" s="225"/>
      <c r="L74" s="226"/>
    </row>
    <row r="75" spans="1:16" ht="36.75" customHeight="1" x14ac:dyDescent="0.25">
      <c r="A75" s="224"/>
      <c r="H75" s="225"/>
      <c r="I75" s="225"/>
      <c r="J75" s="225"/>
      <c r="L75" s="226"/>
    </row>
    <row r="76" spans="1:16" ht="15.75" customHeight="1" x14ac:dyDescent="0.25">
      <c r="A76" s="224"/>
      <c r="B76" s="227"/>
      <c r="E76" s="227"/>
      <c r="F76" s="227"/>
      <c r="G76" s="263"/>
      <c r="H76" s="227"/>
      <c r="I76" s="227"/>
      <c r="J76" s="227"/>
      <c r="K76" s="263"/>
      <c r="L76" s="226"/>
    </row>
    <row r="77" spans="1:16" ht="15.75" customHeight="1" x14ac:dyDescent="0.25">
      <c r="A77" s="224"/>
      <c r="B77" s="228" t="s">
        <v>800</v>
      </c>
      <c r="C77" s="230"/>
      <c r="D77" s="251"/>
      <c r="E77" s="506" t="s">
        <v>794</v>
      </c>
      <c r="F77" s="506"/>
      <c r="G77" s="506" t="s">
        <v>795</v>
      </c>
      <c r="H77" s="506"/>
      <c r="I77" s="506"/>
      <c r="J77" s="506"/>
      <c r="K77" s="506"/>
      <c r="L77" s="229"/>
    </row>
    <row r="78" spans="1:16" x14ac:dyDescent="0.25">
      <c r="A78" s="224"/>
      <c r="B78" s="230" t="s">
        <v>801</v>
      </c>
      <c r="C78" s="230"/>
      <c r="D78" s="251"/>
      <c r="E78" s="506" t="s">
        <v>797</v>
      </c>
      <c r="F78" s="506"/>
      <c r="G78" s="506" t="s">
        <v>845</v>
      </c>
      <c r="H78" s="506"/>
      <c r="I78" s="506"/>
      <c r="J78" s="506"/>
      <c r="K78" s="506"/>
      <c r="L78" s="229"/>
    </row>
    <row r="79" spans="1:16" ht="12.75" thickBot="1" x14ac:dyDescent="0.3">
      <c r="A79" s="231"/>
      <c r="B79" s="232" t="s">
        <v>796</v>
      </c>
      <c r="C79" s="232"/>
      <c r="D79" s="252"/>
      <c r="E79" s="233"/>
      <c r="F79" s="233"/>
      <c r="G79" s="501"/>
      <c r="H79" s="501"/>
      <c r="I79" s="501"/>
      <c r="J79" s="501"/>
      <c r="K79" s="501"/>
      <c r="L79" s="234"/>
    </row>
    <row r="80" spans="1:16" x14ac:dyDescent="0.25">
      <c r="A80" s="235"/>
    </row>
    <row r="82" spans="1:16" ht="28.5" customHeight="1" x14ac:dyDescent="0.25">
      <c r="C82" s="157">
        <f>88*3.4*0.2</f>
        <v>59.84</v>
      </c>
      <c r="H82" s="345">
        <f>SUM(H13:H63)</f>
        <v>89220784</v>
      </c>
      <c r="J82" s="345">
        <f>SUM(J13:J63)</f>
        <v>222178694</v>
      </c>
      <c r="L82" s="345">
        <f>SUM(L13:L63)</f>
        <v>89220784</v>
      </c>
    </row>
    <row r="83" spans="1:16" x14ac:dyDescent="0.25">
      <c r="F83" s="236"/>
      <c r="H83" s="157">
        <f>+H82/2</f>
        <v>44610392</v>
      </c>
      <c r="J83" s="157">
        <f>+J82/2</f>
        <v>111089347</v>
      </c>
      <c r="L83" s="157">
        <f>+L82/2</f>
        <v>44610392</v>
      </c>
    </row>
    <row r="84" spans="1:16" ht="16.5" customHeight="1" x14ac:dyDescent="0.25">
      <c r="H84" s="238">
        <f>+H65-H83</f>
        <v>0</v>
      </c>
      <c r="I84" s="238"/>
      <c r="J84" s="238">
        <f>+J65-J83</f>
        <v>0</v>
      </c>
      <c r="L84" s="238">
        <f>+L65-L83</f>
        <v>0</v>
      </c>
    </row>
    <row r="85" spans="1:16" ht="14.25" customHeight="1" x14ac:dyDescent="0.25">
      <c r="H85" s="238"/>
      <c r="I85" s="238"/>
      <c r="J85" s="238"/>
    </row>
    <row r="86" spans="1:16" ht="15.75" customHeight="1" x14ac:dyDescent="0.25">
      <c r="H86" s="238"/>
      <c r="I86" s="238"/>
      <c r="J86" s="238"/>
    </row>
    <row r="87" spans="1:16" x14ac:dyDescent="0.25">
      <c r="H87" s="238"/>
      <c r="I87" s="238"/>
      <c r="J87" s="238"/>
    </row>
    <row r="88" spans="1:16" x14ac:dyDescent="0.25">
      <c r="H88" s="238"/>
      <c r="I88" s="238"/>
      <c r="J88" s="238"/>
    </row>
    <row r="89" spans="1:16" x14ac:dyDescent="0.25">
      <c r="H89" s="238"/>
      <c r="I89" s="238"/>
      <c r="J89" s="238"/>
    </row>
    <row r="90" spans="1:16" x14ac:dyDescent="0.25">
      <c r="H90" s="238"/>
      <c r="I90" s="238"/>
      <c r="J90" s="238"/>
    </row>
    <row r="92" spans="1:16" x14ac:dyDescent="0.25">
      <c r="H92" s="238"/>
      <c r="I92" s="238"/>
      <c r="J92" s="238"/>
    </row>
    <row r="94" spans="1:16" s="250" customFormat="1" ht="27" customHeight="1" x14ac:dyDescent="0.25">
      <c r="A94" s="157"/>
      <c r="B94" s="157"/>
      <c r="C94" s="274"/>
      <c r="D94" s="276"/>
      <c r="E94" s="157"/>
      <c r="F94" s="157"/>
      <c r="H94" s="239"/>
      <c r="I94" s="239"/>
      <c r="J94" s="239"/>
      <c r="L94" s="157"/>
      <c r="M94" s="157"/>
      <c r="N94" s="157"/>
      <c r="O94" s="157"/>
      <c r="P94" s="157"/>
    </row>
    <row r="96" spans="1:16" s="250" customFormat="1" x14ac:dyDescent="0.25">
      <c r="A96" s="157"/>
      <c r="B96" s="157"/>
      <c r="C96" s="274"/>
      <c r="D96" s="276"/>
      <c r="E96" s="157"/>
      <c r="F96" s="157"/>
      <c r="H96" s="238"/>
      <c r="I96" s="238"/>
      <c r="J96" s="238"/>
      <c r="L96" s="157"/>
      <c r="M96" s="157"/>
      <c r="N96" s="157"/>
      <c r="O96" s="157"/>
      <c r="P96" s="157"/>
    </row>
  </sheetData>
  <mergeCells count="40">
    <mergeCell ref="A65:B65"/>
    <mergeCell ref="A71:B71"/>
    <mergeCell ref="C71:G71"/>
    <mergeCell ref="A72:B72"/>
    <mergeCell ref="C72:G72"/>
    <mergeCell ref="A73:B73"/>
    <mergeCell ref="C73:G73"/>
    <mergeCell ref="G79:K79"/>
    <mergeCell ref="G7:H7"/>
    <mergeCell ref="G6:H6"/>
    <mergeCell ref="E77:F77"/>
    <mergeCell ref="G77:K77"/>
    <mergeCell ref="E78:F78"/>
    <mergeCell ref="G78:K78"/>
    <mergeCell ref="A66:B66"/>
    <mergeCell ref="A67:B67"/>
    <mergeCell ref="A68:B68"/>
    <mergeCell ref="A69:B69"/>
    <mergeCell ref="A70:B70"/>
    <mergeCell ref="A8:L8"/>
    <mergeCell ref="A9:A10"/>
    <mergeCell ref="B9:B10"/>
    <mergeCell ref="C9:F9"/>
    <mergeCell ref="G9:H9"/>
    <mergeCell ref="I9:J9"/>
    <mergeCell ref="K9:L9"/>
    <mergeCell ref="I6:J6"/>
    <mergeCell ref="I7:J7"/>
    <mergeCell ref="G4:L4"/>
    <mergeCell ref="J1:L1"/>
    <mergeCell ref="J2:L2"/>
    <mergeCell ref="A1:I2"/>
    <mergeCell ref="I5:J5"/>
    <mergeCell ref="K5:L5"/>
    <mergeCell ref="K6:L7"/>
    <mergeCell ref="A3:B7"/>
    <mergeCell ref="C3:F7"/>
    <mergeCell ref="G5:H5"/>
    <mergeCell ref="J3:L3"/>
    <mergeCell ref="G3:I3"/>
  </mergeCells>
  <conditionalFormatting sqref="G12:G62">
    <cfRule type="cellIs" dxfId="46" priority="3" stopIfTrue="1" operator="equal">
      <formula>"Columna1"</formula>
    </cfRule>
  </conditionalFormatting>
  <conditionalFormatting sqref="I12:I62">
    <cfRule type="cellIs" dxfId="45" priority="2" stopIfTrue="1" operator="equal">
      <formula>"Columna1"</formula>
    </cfRule>
  </conditionalFormatting>
  <conditionalFormatting sqref="K13:K63">
    <cfRule type="cellIs" dxfId="44" priority="9" stopIfTrue="1" operator="equal">
      <formula>"Columna1"</formula>
    </cfRule>
  </conditionalFormatting>
  <conditionalFormatting sqref="M61:M62">
    <cfRule type="cellIs" dxfId="43" priority="4" stopIfTrue="1" operator="equal">
      <formula>"Columna1"</formula>
    </cfRule>
  </conditionalFormatting>
  <printOptions horizontalCentered="1"/>
  <pageMargins left="0.55118110236220474" right="0.31496062992125984" top="0.51181102362204722" bottom="0.39370078740157483" header="0" footer="0"/>
  <pageSetup scale="40" orientation="portrait" horizontalDpi="4294967293"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99"/>
  <sheetViews>
    <sheetView view="pageBreakPreview" topLeftCell="A43" zoomScale="70" zoomScaleNormal="90" zoomScaleSheetLayoutView="70" workbookViewId="0">
      <selection activeCell="L76" sqref="L76"/>
    </sheetView>
  </sheetViews>
  <sheetFormatPr baseColWidth="10" defaultColWidth="11.5703125" defaultRowHeight="12" x14ac:dyDescent="0.25"/>
  <cols>
    <col min="1" max="1" width="6.28515625" style="157" bestFit="1" customWidth="1"/>
    <col min="2" max="2" width="48.5703125" style="157" customWidth="1"/>
    <col min="3" max="3" width="7.140625" style="274" customWidth="1"/>
    <col min="4" max="4" width="8.7109375" style="276" customWidth="1"/>
    <col min="5" max="5" width="14" style="157" customWidth="1"/>
    <col min="6" max="6" width="21.28515625" style="157" customWidth="1"/>
    <col min="7" max="7" width="10.85546875" style="250" customWidth="1"/>
    <col min="8" max="8" width="16.7109375" style="157" customWidth="1"/>
    <col min="9" max="9" width="11.28515625" style="250" customWidth="1"/>
    <col min="10" max="10" width="20.85546875" style="157" customWidth="1"/>
    <col min="11" max="11" width="16.140625" style="157" customWidth="1"/>
    <col min="12" max="12" width="19.140625" style="157" bestFit="1" customWidth="1"/>
    <col min="13" max="13" width="10" style="250" customWidth="1"/>
    <col min="14" max="14" width="20.42578125" style="157" customWidth="1"/>
    <col min="15" max="15" width="25.7109375" style="157" customWidth="1"/>
    <col min="16" max="16384" width="11.5703125" style="157"/>
  </cols>
  <sheetData>
    <row r="1" spans="1:15" ht="18.75" customHeight="1" thickBot="1" x14ac:dyDescent="0.3">
      <c r="A1" s="540" t="s">
        <v>833</v>
      </c>
      <c r="B1" s="541"/>
      <c r="C1" s="541"/>
      <c r="D1" s="541"/>
      <c r="E1" s="541"/>
      <c r="F1" s="541"/>
      <c r="G1" s="541"/>
      <c r="H1" s="541"/>
      <c r="I1" s="541"/>
      <c r="J1" s="544" t="s">
        <v>763</v>
      </c>
      <c r="K1" s="545"/>
      <c r="L1" s="545"/>
      <c r="M1" s="545" t="s">
        <v>763</v>
      </c>
      <c r="N1" s="546" t="s">
        <v>763</v>
      </c>
    </row>
    <row r="2" spans="1:15" ht="19.5" customHeight="1" thickBot="1" x14ac:dyDescent="0.3">
      <c r="A2" s="542"/>
      <c r="B2" s="543"/>
      <c r="C2" s="543"/>
      <c r="D2" s="543"/>
      <c r="E2" s="543"/>
      <c r="F2" s="543"/>
      <c r="G2" s="543"/>
      <c r="H2" s="543"/>
      <c r="I2" s="543"/>
      <c r="J2" s="544" t="s">
        <v>764</v>
      </c>
      <c r="K2" s="545"/>
      <c r="L2" s="545"/>
      <c r="M2" s="545" t="s">
        <v>764</v>
      </c>
      <c r="N2" s="546" t="s">
        <v>764</v>
      </c>
    </row>
    <row r="3" spans="1:15" ht="21" customHeight="1" thickBot="1" x14ac:dyDescent="0.3">
      <c r="A3" s="547"/>
      <c r="B3" s="548"/>
      <c r="C3" s="552" t="s">
        <v>765</v>
      </c>
      <c r="D3" s="553"/>
      <c r="E3" s="553"/>
      <c r="F3" s="554"/>
      <c r="G3" s="561" t="s">
        <v>803</v>
      </c>
      <c r="H3" s="562"/>
      <c r="I3" s="562"/>
      <c r="J3" s="544" t="s">
        <v>802</v>
      </c>
      <c r="K3" s="545"/>
      <c r="L3" s="545"/>
      <c r="M3" s="545" t="s">
        <v>766</v>
      </c>
      <c r="N3" s="546" t="s">
        <v>766</v>
      </c>
    </row>
    <row r="4" spans="1:15" ht="30" customHeight="1" thickBot="1" x14ac:dyDescent="0.3">
      <c r="A4" s="549"/>
      <c r="B4" s="550"/>
      <c r="C4" s="555"/>
      <c r="D4" s="556"/>
      <c r="E4" s="556"/>
      <c r="F4" s="557"/>
      <c r="G4" s="563" t="s">
        <v>804</v>
      </c>
      <c r="H4" s="564"/>
      <c r="I4" s="564"/>
      <c r="J4" s="564"/>
      <c r="K4" s="564"/>
      <c r="L4" s="564"/>
      <c r="M4" s="564"/>
      <c r="N4" s="565"/>
    </row>
    <row r="5" spans="1:15" ht="22.5" customHeight="1" thickBot="1" x14ac:dyDescent="0.3">
      <c r="A5" s="549"/>
      <c r="B5" s="550"/>
      <c r="C5" s="555"/>
      <c r="D5" s="556"/>
      <c r="E5" s="556"/>
      <c r="F5" s="556"/>
      <c r="G5" s="566" t="s">
        <v>767</v>
      </c>
      <c r="H5" s="567"/>
      <c r="I5" s="568">
        <f>+F70</f>
        <v>150077970.44999999</v>
      </c>
      <c r="J5" s="569"/>
      <c r="K5" s="569"/>
      <c r="L5" s="570"/>
      <c r="M5" s="571" t="s">
        <v>799</v>
      </c>
      <c r="N5" s="572"/>
      <c r="O5" s="158">
        <f>I5/2</f>
        <v>75038985.224999994</v>
      </c>
    </row>
    <row r="6" spans="1:15" ht="22.5" customHeight="1" thickBot="1" x14ac:dyDescent="0.3">
      <c r="A6" s="549"/>
      <c r="B6" s="550"/>
      <c r="C6" s="555"/>
      <c r="D6" s="556"/>
      <c r="E6" s="556"/>
      <c r="F6" s="557"/>
      <c r="G6" s="566" t="s">
        <v>768</v>
      </c>
      <c r="H6" s="567"/>
      <c r="I6" s="573">
        <v>0</v>
      </c>
      <c r="J6" s="574"/>
      <c r="K6" s="574"/>
      <c r="L6" s="575"/>
      <c r="M6" s="576">
        <f>N70/F70</f>
        <v>0.69642044656261548</v>
      </c>
      <c r="N6" s="577"/>
      <c r="O6" s="157">
        <v>0.40128493888491285</v>
      </c>
    </row>
    <row r="7" spans="1:15" ht="22.5" customHeight="1" thickBot="1" x14ac:dyDescent="0.3">
      <c r="A7" s="542"/>
      <c r="B7" s="551"/>
      <c r="C7" s="558"/>
      <c r="D7" s="559"/>
      <c r="E7" s="559"/>
      <c r="F7" s="560"/>
      <c r="G7" s="580" t="s">
        <v>769</v>
      </c>
      <c r="H7" s="581"/>
      <c r="I7" s="582">
        <f>+I5+I6</f>
        <v>150077970.44999999</v>
      </c>
      <c r="J7" s="583"/>
      <c r="K7" s="583"/>
      <c r="L7" s="584"/>
      <c r="M7" s="578"/>
      <c r="N7" s="579"/>
      <c r="O7" s="326">
        <f>+ROUND(O6*100,2)</f>
        <v>40.130000000000003</v>
      </c>
    </row>
    <row r="8" spans="1:15" ht="12.75" thickBot="1" x14ac:dyDescent="0.3">
      <c r="A8" s="524"/>
      <c r="B8" s="525"/>
      <c r="C8" s="525"/>
      <c r="D8" s="525"/>
      <c r="E8" s="525"/>
      <c r="F8" s="525"/>
      <c r="G8" s="525"/>
      <c r="H8" s="525"/>
      <c r="I8" s="525"/>
      <c r="J8" s="525"/>
      <c r="K8" s="525"/>
      <c r="L8" s="525"/>
      <c r="M8" s="525"/>
      <c r="N8" s="526"/>
    </row>
    <row r="9" spans="1:15" ht="35.25" customHeight="1" x14ac:dyDescent="0.25">
      <c r="A9" s="527" t="s">
        <v>647</v>
      </c>
      <c r="B9" s="529" t="s">
        <v>498</v>
      </c>
      <c r="C9" s="531" t="s">
        <v>760</v>
      </c>
      <c r="D9" s="532"/>
      <c r="E9" s="532"/>
      <c r="F9" s="533"/>
      <c r="G9" s="534" t="s">
        <v>770</v>
      </c>
      <c r="H9" s="535"/>
      <c r="I9" s="536" t="s">
        <v>831</v>
      </c>
      <c r="J9" s="537"/>
      <c r="K9" s="536" t="s">
        <v>832</v>
      </c>
      <c r="L9" s="537"/>
      <c r="M9" s="536" t="s">
        <v>771</v>
      </c>
      <c r="N9" s="537"/>
    </row>
    <row r="10" spans="1:15" ht="22.5" customHeight="1" thickBot="1" x14ac:dyDescent="0.3">
      <c r="A10" s="528"/>
      <c r="B10" s="530"/>
      <c r="C10" s="159" t="s">
        <v>241</v>
      </c>
      <c r="D10" s="242" t="s">
        <v>772</v>
      </c>
      <c r="E10" s="160" t="s">
        <v>773</v>
      </c>
      <c r="F10" s="161" t="s">
        <v>649</v>
      </c>
      <c r="G10" s="253" t="s">
        <v>772</v>
      </c>
      <c r="H10" s="161" t="s">
        <v>649</v>
      </c>
      <c r="I10" s="253" t="s">
        <v>772</v>
      </c>
      <c r="J10" s="161" t="s">
        <v>649</v>
      </c>
      <c r="K10" s="253" t="s">
        <v>772</v>
      </c>
      <c r="L10" s="161" t="s">
        <v>649</v>
      </c>
      <c r="M10" s="253" t="s">
        <v>772</v>
      </c>
      <c r="N10" s="161" t="s">
        <v>649</v>
      </c>
    </row>
    <row r="11" spans="1:15" ht="12.75" thickBot="1" x14ac:dyDescent="0.3">
      <c r="A11" s="313"/>
      <c r="B11" s="314"/>
      <c r="C11" s="314"/>
      <c r="D11" s="314"/>
      <c r="E11" s="314"/>
      <c r="F11" s="314"/>
      <c r="G11" s="314"/>
      <c r="H11" s="314"/>
      <c r="I11" s="314"/>
      <c r="J11" s="314"/>
      <c r="K11" s="314"/>
      <c r="L11" s="314"/>
      <c r="M11" s="314"/>
      <c r="N11" s="315"/>
    </row>
    <row r="12" spans="1:15" s="170" customFormat="1" ht="20.100000000000001" customHeight="1" x14ac:dyDescent="0.25">
      <c r="A12" s="162">
        <v>1</v>
      </c>
      <c r="B12" s="163" t="s">
        <v>53</v>
      </c>
      <c r="C12" s="164"/>
      <c r="D12" s="243"/>
      <c r="E12" s="165" t="s">
        <v>650</v>
      </c>
      <c r="F12" s="166"/>
      <c r="G12" s="254"/>
      <c r="H12" s="167"/>
      <c r="I12" s="265"/>
      <c r="J12" s="168"/>
      <c r="K12" s="265"/>
      <c r="L12" s="168"/>
      <c r="M12" s="254"/>
      <c r="N12" s="169"/>
    </row>
    <row r="13" spans="1:15" s="176" customFormat="1" ht="20.100000000000001" customHeight="1" x14ac:dyDescent="0.2">
      <c r="A13" s="171">
        <v>1.01</v>
      </c>
      <c r="B13" s="172" t="s">
        <v>651</v>
      </c>
      <c r="C13" s="173" t="s">
        <v>216</v>
      </c>
      <c r="D13" s="244">
        <v>46.44</v>
      </c>
      <c r="E13" s="174">
        <v>2800</v>
      </c>
      <c r="F13" s="175">
        <f>ROUND(D13*E13,0)</f>
        <v>130032</v>
      </c>
      <c r="G13" s="255"/>
      <c r="H13" s="175">
        <f>ROUND(G13*E13,0)</f>
        <v>0</v>
      </c>
      <c r="I13" s="266">
        <f>+BALANCE!G6</f>
        <v>26.26</v>
      </c>
      <c r="J13" s="175">
        <f>ROUND(E13*I13,0)</f>
        <v>73528</v>
      </c>
      <c r="K13" s="266">
        <f>1.01*15</f>
        <v>15.15</v>
      </c>
      <c r="L13" s="175">
        <f>ROUND(E13*K13,0)</f>
        <v>42420</v>
      </c>
      <c r="M13" s="266">
        <f>+I13+K13</f>
        <v>41.410000000000004</v>
      </c>
      <c r="N13" s="175">
        <f>ROUND(E13*M13,0)</f>
        <v>115948</v>
      </c>
      <c r="O13" s="176">
        <v>100</v>
      </c>
    </row>
    <row r="14" spans="1:15" s="176" customFormat="1" ht="20.100000000000001" customHeight="1" x14ac:dyDescent="0.2">
      <c r="A14" s="171">
        <v>1.21</v>
      </c>
      <c r="B14" s="177" t="s">
        <v>652</v>
      </c>
      <c r="C14" s="173" t="s">
        <v>216</v>
      </c>
      <c r="D14" s="244">
        <v>54.75</v>
      </c>
      <c r="E14" s="174">
        <v>3600</v>
      </c>
      <c r="F14" s="175">
        <f>ROUND(D14*E14,0)</f>
        <v>197100</v>
      </c>
      <c r="G14" s="255"/>
      <c r="H14" s="175">
        <f t="shared" ref="H14:H16" si="0">ROUND(G14*E14,0)</f>
        <v>0</v>
      </c>
      <c r="I14" s="266">
        <f>+BALANCE!G7</f>
        <v>30.939999999999998</v>
      </c>
      <c r="J14" s="175">
        <f t="shared" ref="J14:J16" si="1">ROUND(E14*I14,0)</f>
        <v>111384</v>
      </c>
      <c r="K14" s="266">
        <f>1.19*15</f>
        <v>17.849999999999998</v>
      </c>
      <c r="L14" s="175">
        <f t="shared" ref="L14:L16" si="2">ROUND(E14*K14,0)</f>
        <v>64260</v>
      </c>
      <c r="M14" s="266">
        <f t="shared" ref="M14:M53" si="3">+I14+K14</f>
        <v>48.789999999999992</v>
      </c>
      <c r="N14" s="175">
        <f t="shared" ref="N14:N16" si="4">ROUND(E14*M14,0)</f>
        <v>175644</v>
      </c>
      <c r="O14" s="176">
        <v>84</v>
      </c>
    </row>
    <row r="15" spans="1:15" s="176" customFormat="1" ht="20.100000000000001" customHeight="1" x14ac:dyDescent="0.2">
      <c r="A15" s="171">
        <v>1.23</v>
      </c>
      <c r="B15" s="177" t="s">
        <v>653</v>
      </c>
      <c r="C15" s="173" t="s">
        <v>216</v>
      </c>
      <c r="D15" s="244">
        <v>18.149999999999999</v>
      </c>
      <c r="E15" s="174">
        <v>19700</v>
      </c>
      <c r="F15" s="175">
        <f>ROUND(D15*E15,0)</f>
        <v>357555</v>
      </c>
      <c r="G15" s="255"/>
      <c r="H15" s="175">
        <f t="shared" si="0"/>
        <v>0</v>
      </c>
      <c r="I15" s="266">
        <f>+BALANCE!G8</f>
        <v>3</v>
      </c>
      <c r="J15" s="175">
        <f t="shared" si="1"/>
        <v>59100</v>
      </c>
      <c r="K15" s="266">
        <v>7</v>
      </c>
      <c r="L15" s="175">
        <f t="shared" si="2"/>
        <v>137900</v>
      </c>
      <c r="M15" s="266">
        <f t="shared" si="3"/>
        <v>10</v>
      </c>
      <c r="N15" s="175">
        <f t="shared" si="4"/>
        <v>197000</v>
      </c>
    </row>
    <row r="16" spans="1:15" s="176" customFormat="1" ht="20.100000000000001" customHeight="1" x14ac:dyDescent="0.2">
      <c r="A16" s="171">
        <v>1.04</v>
      </c>
      <c r="B16" s="177" t="s">
        <v>654</v>
      </c>
      <c r="C16" s="173" t="s">
        <v>216</v>
      </c>
      <c r="D16" s="244">
        <v>18.149999999999999</v>
      </c>
      <c r="E16" s="174">
        <v>67400</v>
      </c>
      <c r="F16" s="175">
        <f>ROUND(D16*E16,0)</f>
        <v>1223310</v>
      </c>
      <c r="G16" s="255"/>
      <c r="H16" s="175">
        <f t="shared" si="0"/>
        <v>0</v>
      </c>
      <c r="I16" s="266">
        <f>+BALANCE!G9</f>
        <v>2.5</v>
      </c>
      <c r="J16" s="175">
        <f t="shared" si="1"/>
        <v>168500</v>
      </c>
      <c r="K16" s="266">
        <v>7.8</v>
      </c>
      <c r="L16" s="175">
        <f t="shared" si="2"/>
        <v>525720</v>
      </c>
      <c r="M16" s="266">
        <f t="shared" si="3"/>
        <v>10.3</v>
      </c>
      <c r="N16" s="175">
        <f t="shared" si="4"/>
        <v>694220</v>
      </c>
    </row>
    <row r="17" spans="1:14" s="181" customFormat="1" ht="20.100000000000001" customHeight="1" x14ac:dyDescent="0.25">
      <c r="A17" s="178"/>
      <c r="B17" s="179" t="s">
        <v>655</v>
      </c>
      <c r="C17" s="186" t="s">
        <v>650</v>
      </c>
      <c r="D17" s="188" t="s">
        <v>650</v>
      </c>
      <c r="E17" s="179"/>
      <c r="F17" s="180">
        <f>ROUND((SUM(F13:F16)),0)</f>
        <v>1907997</v>
      </c>
      <c r="G17" s="190"/>
      <c r="H17" s="180">
        <f>SUM(H13:H16)</f>
        <v>0</v>
      </c>
      <c r="I17" s="266" t="str">
        <f>+BALANCE!G10</f>
        <v xml:space="preserve"> </v>
      </c>
      <c r="J17" s="180">
        <f>SUM(J13:J16)</f>
        <v>412512</v>
      </c>
      <c r="K17" s="266"/>
      <c r="L17" s="180">
        <f>SUM(L13:L16)</f>
        <v>770300</v>
      </c>
      <c r="M17" s="266"/>
      <c r="N17" s="180">
        <f>SUM(N13:N16)</f>
        <v>1182812</v>
      </c>
    </row>
    <row r="18" spans="1:14" s="181" customFormat="1" ht="20.100000000000001" customHeight="1" x14ac:dyDescent="0.25">
      <c r="A18" s="178">
        <v>2</v>
      </c>
      <c r="B18" s="179" t="s">
        <v>656</v>
      </c>
      <c r="C18" s="186"/>
      <c r="D18" s="188"/>
      <c r="E18" s="179"/>
      <c r="F18" s="182"/>
      <c r="G18" s="190"/>
      <c r="H18" s="182"/>
      <c r="I18" s="266"/>
      <c r="J18" s="182"/>
      <c r="K18" s="266"/>
      <c r="L18" s="182"/>
      <c r="M18" s="266"/>
      <c r="N18" s="182"/>
    </row>
    <row r="19" spans="1:14" ht="24" customHeight="1" x14ac:dyDescent="0.25">
      <c r="A19" s="171">
        <v>2.0099999999999998</v>
      </c>
      <c r="B19" s="240" t="s">
        <v>657</v>
      </c>
      <c r="C19" s="241" t="s">
        <v>172</v>
      </c>
      <c r="D19" s="195">
        <v>41.26</v>
      </c>
      <c r="E19" s="240">
        <v>27000</v>
      </c>
      <c r="F19" s="175">
        <f t="shared" ref="F19:F20" si="5">ROUND(D19*E19,0)</f>
        <v>1114020</v>
      </c>
      <c r="G19" s="255"/>
      <c r="H19" s="175">
        <f t="shared" ref="H19:H21" si="6">ROUND(G19*E19,0)</f>
        <v>0</v>
      </c>
      <c r="I19" s="266">
        <f>+BALANCE!G12</f>
        <v>17.739999999999998</v>
      </c>
      <c r="J19" s="175">
        <f t="shared" ref="J19:J21" si="7">ROUND(E19*I19,0)</f>
        <v>478980</v>
      </c>
      <c r="K19" s="266">
        <v>13.5</v>
      </c>
      <c r="L19" s="175">
        <f t="shared" ref="L19:L21" si="8">ROUND(E19*K19,0)</f>
        <v>364500</v>
      </c>
      <c r="M19" s="266">
        <f t="shared" si="3"/>
        <v>31.24</v>
      </c>
      <c r="N19" s="175">
        <f t="shared" ref="N19:N21" si="9">ROUND(E19*M19,0)</f>
        <v>843480</v>
      </c>
    </row>
    <row r="20" spans="1:14" ht="20.100000000000001" customHeight="1" x14ac:dyDescent="0.25">
      <c r="A20" s="171">
        <v>2.02</v>
      </c>
      <c r="B20" s="240" t="s">
        <v>658</v>
      </c>
      <c r="C20" s="241" t="s">
        <v>172</v>
      </c>
      <c r="D20" s="195">
        <v>15</v>
      </c>
      <c r="E20" s="240">
        <v>29600</v>
      </c>
      <c r="F20" s="175">
        <f t="shared" si="5"/>
        <v>444000</v>
      </c>
      <c r="G20" s="255"/>
      <c r="H20" s="175">
        <f t="shared" si="6"/>
        <v>0</v>
      </c>
      <c r="I20" s="266">
        <f>+BALANCE!G13</f>
        <v>6.7</v>
      </c>
      <c r="J20" s="175">
        <f t="shared" si="7"/>
        <v>198320</v>
      </c>
      <c r="K20" s="266">
        <v>4.3</v>
      </c>
      <c r="L20" s="175">
        <f t="shared" si="8"/>
        <v>127280</v>
      </c>
      <c r="M20" s="266">
        <f t="shared" si="3"/>
        <v>11</v>
      </c>
      <c r="N20" s="175">
        <f t="shared" si="9"/>
        <v>325600</v>
      </c>
    </row>
    <row r="21" spans="1:14" ht="20.100000000000001" customHeight="1" x14ac:dyDescent="0.25">
      <c r="A21" s="171">
        <v>2.0299999999999998</v>
      </c>
      <c r="B21" s="183" t="s">
        <v>659</v>
      </c>
      <c r="C21" s="184" t="s">
        <v>172</v>
      </c>
      <c r="D21" s="245">
        <v>62.56</v>
      </c>
      <c r="E21" s="174">
        <v>43000</v>
      </c>
      <c r="F21" s="175">
        <f>ROUND(D21*E21,0)</f>
        <v>2690080</v>
      </c>
      <c r="G21" s="255"/>
      <c r="H21" s="175">
        <f t="shared" si="6"/>
        <v>0</v>
      </c>
      <c r="I21" s="266">
        <f>+BALANCE!G14</f>
        <v>18</v>
      </c>
      <c r="J21" s="175">
        <f t="shared" si="7"/>
        <v>774000</v>
      </c>
      <c r="K21" s="266">
        <v>18</v>
      </c>
      <c r="L21" s="175">
        <f t="shared" si="8"/>
        <v>774000</v>
      </c>
      <c r="M21" s="266">
        <f t="shared" si="3"/>
        <v>36</v>
      </c>
      <c r="N21" s="175">
        <f t="shared" si="9"/>
        <v>1548000</v>
      </c>
    </row>
    <row r="22" spans="1:14" s="181" customFormat="1" x14ac:dyDescent="0.25">
      <c r="A22" s="178"/>
      <c r="B22" s="179" t="s">
        <v>655</v>
      </c>
      <c r="C22" s="186" t="s">
        <v>650</v>
      </c>
      <c r="D22" s="188" t="s">
        <v>650</v>
      </c>
      <c r="E22" s="187"/>
      <c r="F22" s="180">
        <f>ROUND((SUM(F19:F21)),0)</f>
        <v>4248100</v>
      </c>
      <c r="G22" s="190"/>
      <c r="H22" s="180">
        <f>SUM(H19:H21)</f>
        <v>0</v>
      </c>
      <c r="I22" s="266" t="str">
        <f>+BALANCE!G15</f>
        <v xml:space="preserve"> </v>
      </c>
      <c r="J22" s="180">
        <f>SUM(J19:J21)</f>
        <v>1451300</v>
      </c>
      <c r="K22" s="266"/>
      <c r="L22" s="180">
        <f>SUM(L19:L21)</f>
        <v>1265780</v>
      </c>
      <c r="M22" s="266"/>
      <c r="N22" s="180">
        <f>SUM(N19:N21)</f>
        <v>2717080</v>
      </c>
    </row>
    <row r="23" spans="1:14" s="181" customFormat="1" ht="19.5" customHeight="1" x14ac:dyDescent="0.25">
      <c r="A23" s="178">
        <v>3</v>
      </c>
      <c r="B23" s="179" t="s">
        <v>660</v>
      </c>
      <c r="C23" s="186"/>
      <c r="D23" s="188"/>
      <c r="E23" s="187"/>
      <c r="F23" s="189"/>
      <c r="G23" s="190"/>
      <c r="H23" s="189"/>
      <c r="I23" s="266"/>
      <c r="J23" s="189"/>
      <c r="K23" s="266"/>
      <c r="L23" s="189"/>
      <c r="M23" s="266"/>
      <c r="N23" s="189"/>
    </row>
    <row r="24" spans="1:14" ht="17.25" customHeight="1" x14ac:dyDescent="0.2">
      <c r="A24" s="171">
        <v>3.01</v>
      </c>
      <c r="B24" s="177" t="s">
        <v>661</v>
      </c>
      <c r="C24" s="173" t="s">
        <v>241</v>
      </c>
      <c r="D24" s="244">
        <v>31</v>
      </c>
      <c r="E24" s="174">
        <v>331400</v>
      </c>
      <c r="F24" s="175">
        <f>ROUND(D24*E24,0)</f>
        <v>10273400</v>
      </c>
      <c r="G24" s="255"/>
      <c r="H24" s="175">
        <f t="shared" ref="H24:H26" si="10">ROUND(G24*E24,0)</f>
        <v>0</v>
      </c>
      <c r="I24" s="266">
        <f>+BALANCE!G17</f>
        <v>9</v>
      </c>
      <c r="J24" s="175">
        <f t="shared" ref="J24:J26" si="11">ROUND(E24*I24,0)</f>
        <v>2982600</v>
      </c>
      <c r="K24" s="266">
        <v>3</v>
      </c>
      <c r="L24" s="175">
        <f t="shared" ref="L24:L26" si="12">ROUND(E24*K24,0)</f>
        <v>994200</v>
      </c>
      <c r="M24" s="266">
        <f t="shared" si="3"/>
        <v>12</v>
      </c>
      <c r="N24" s="175">
        <f t="shared" ref="N24:N26" si="13">ROUND(E24*M24,0)</f>
        <v>3976800</v>
      </c>
    </row>
    <row r="25" spans="1:14" ht="27.75" customHeight="1" x14ac:dyDescent="0.2">
      <c r="A25" s="171">
        <v>3.02</v>
      </c>
      <c r="B25" s="177" t="s">
        <v>662</v>
      </c>
      <c r="C25" s="173" t="s">
        <v>241</v>
      </c>
      <c r="D25" s="244">
        <v>10</v>
      </c>
      <c r="E25" s="174">
        <v>84900</v>
      </c>
      <c r="F25" s="175">
        <f>ROUND(D25*E25,0)</f>
        <v>849000</v>
      </c>
      <c r="G25" s="255"/>
      <c r="H25" s="175">
        <f t="shared" si="10"/>
        <v>0</v>
      </c>
      <c r="I25" s="266">
        <f>+BALANCE!G18</f>
        <v>10</v>
      </c>
      <c r="J25" s="175">
        <f t="shared" si="11"/>
        <v>849000</v>
      </c>
      <c r="K25" s="266">
        <v>0</v>
      </c>
      <c r="L25" s="175">
        <f t="shared" si="12"/>
        <v>0</v>
      </c>
      <c r="M25" s="266">
        <f t="shared" si="3"/>
        <v>10</v>
      </c>
      <c r="N25" s="175">
        <f t="shared" si="13"/>
        <v>849000</v>
      </c>
    </row>
    <row r="26" spans="1:14" ht="16.5" customHeight="1" x14ac:dyDescent="0.25">
      <c r="A26" s="171">
        <v>3.03</v>
      </c>
      <c r="B26" s="177" t="s">
        <v>663</v>
      </c>
      <c r="C26" s="185" t="s">
        <v>172</v>
      </c>
      <c r="D26" s="245">
        <v>9.3000000000000007</v>
      </c>
      <c r="E26" s="174">
        <v>581900</v>
      </c>
      <c r="F26" s="175">
        <f>ROUND(D26*E26,0)</f>
        <v>5411670</v>
      </c>
      <c r="G26" s="255"/>
      <c r="H26" s="175">
        <f t="shared" si="10"/>
        <v>0</v>
      </c>
      <c r="I26" s="266">
        <f>+BALANCE!G19</f>
        <v>5.2</v>
      </c>
      <c r="J26" s="175">
        <f t="shared" si="11"/>
        <v>3025880</v>
      </c>
      <c r="K26" s="266">
        <f>0.2*15</f>
        <v>3</v>
      </c>
      <c r="L26" s="175">
        <f t="shared" si="12"/>
        <v>1745700</v>
      </c>
      <c r="M26" s="266">
        <f t="shared" si="3"/>
        <v>8.1999999999999993</v>
      </c>
      <c r="N26" s="175">
        <f t="shared" si="13"/>
        <v>4771580</v>
      </c>
    </row>
    <row r="27" spans="1:14" s="181" customFormat="1" x14ac:dyDescent="0.25">
      <c r="A27" s="178"/>
      <c r="B27" s="186" t="s">
        <v>655</v>
      </c>
      <c r="C27" s="186" t="s">
        <v>650</v>
      </c>
      <c r="D27" s="188" t="s">
        <v>650</v>
      </c>
      <c r="E27" s="186"/>
      <c r="F27" s="180">
        <f>SUM(F24:F26)</f>
        <v>16534070</v>
      </c>
      <c r="G27" s="190"/>
      <c r="H27" s="180">
        <f>SUM(H24:H26)</f>
        <v>0</v>
      </c>
      <c r="I27" s="266" t="str">
        <f>+BALANCE!G20</f>
        <v xml:space="preserve"> </v>
      </c>
      <c r="J27" s="180">
        <f>SUM(J24:J26)</f>
        <v>6857480</v>
      </c>
      <c r="K27" s="266"/>
      <c r="L27" s="180">
        <f>SUM(L24:L26)</f>
        <v>2739900</v>
      </c>
      <c r="M27" s="266"/>
      <c r="N27" s="180">
        <f>SUM(N24:N26)</f>
        <v>9597380</v>
      </c>
    </row>
    <row r="28" spans="1:14" s="181" customFormat="1" ht="26.25" customHeight="1" x14ac:dyDescent="0.25">
      <c r="A28" s="178">
        <v>4</v>
      </c>
      <c r="B28" s="179" t="s">
        <v>664</v>
      </c>
      <c r="C28" s="186"/>
      <c r="D28" s="188"/>
      <c r="E28" s="187"/>
      <c r="F28" s="189"/>
      <c r="G28" s="190"/>
      <c r="H28" s="189"/>
      <c r="I28" s="266"/>
      <c r="J28" s="189"/>
      <c r="K28" s="266"/>
      <c r="L28" s="189"/>
      <c r="M28" s="266"/>
      <c r="N28" s="189"/>
    </row>
    <row r="29" spans="1:14" s="181" customFormat="1" ht="20.100000000000001" customHeight="1" x14ac:dyDescent="0.25">
      <c r="A29" s="171">
        <v>4.01</v>
      </c>
      <c r="B29" s="177" t="s">
        <v>665</v>
      </c>
      <c r="C29" s="184" t="s">
        <v>241</v>
      </c>
      <c r="D29" s="245">
        <v>7</v>
      </c>
      <c r="E29" s="174">
        <v>819400</v>
      </c>
      <c r="F29" s="175">
        <f t="shared" ref="F29:F49" si="14">ROUND(D29*E29,0)</f>
        <v>5735800</v>
      </c>
      <c r="G29" s="190"/>
      <c r="H29" s="175">
        <f t="shared" ref="H29:H49" si="15">ROUND(G29*E29,0)</f>
        <v>0</v>
      </c>
      <c r="I29" s="266">
        <f>+BALANCE!G22</f>
        <v>3</v>
      </c>
      <c r="J29" s="175">
        <f t="shared" ref="J29:J49" si="16">ROUND(E29*I29,0)</f>
        <v>2458200</v>
      </c>
      <c r="K29" s="266">
        <v>3</v>
      </c>
      <c r="L29" s="175">
        <f t="shared" ref="L29:L49" si="17">ROUND(E29*K29,0)</f>
        <v>2458200</v>
      </c>
      <c r="M29" s="266">
        <f t="shared" si="3"/>
        <v>6</v>
      </c>
      <c r="N29" s="175">
        <f t="shared" ref="N29:N49" si="18">ROUND(E29*M29,0)</f>
        <v>4916400</v>
      </c>
    </row>
    <row r="30" spans="1:14" s="181" customFormat="1" ht="20.100000000000001" customHeight="1" x14ac:dyDescent="0.25">
      <c r="A30" s="171">
        <v>4.0199999999999996</v>
      </c>
      <c r="B30" s="177" t="s">
        <v>666</v>
      </c>
      <c r="C30" s="184" t="s">
        <v>241</v>
      </c>
      <c r="D30" s="245">
        <v>3</v>
      </c>
      <c r="E30" s="174">
        <v>432900</v>
      </c>
      <c r="F30" s="175">
        <f t="shared" si="14"/>
        <v>1298700</v>
      </c>
      <c r="G30" s="190"/>
      <c r="H30" s="175">
        <f t="shared" si="15"/>
        <v>0</v>
      </c>
      <c r="I30" s="266">
        <f>+BALANCE!G23</f>
        <v>2</v>
      </c>
      <c r="J30" s="175">
        <f t="shared" si="16"/>
        <v>865800</v>
      </c>
      <c r="K30" s="266">
        <v>1</v>
      </c>
      <c r="L30" s="175">
        <f t="shared" si="17"/>
        <v>432900</v>
      </c>
      <c r="M30" s="266">
        <f t="shared" si="3"/>
        <v>3</v>
      </c>
      <c r="N30" s="175">
        <f t="shared" si="18"/>
        <v>1298700</v>
      </c>
    </row>
    <row r="31" spans="1:14" s="181" customFormat="1" ht="20.100000000000001" customHeight="1" x14ac:dyDescent="0.25">
      <c r="A31" s="171">
        <v>4.03</v>
      </c>
      <c r="B31" s="177" t="s">
        <v>667</v>
      </c>
      <c r="C31" s="184" t="s">
        <v>241</v>
      </c>
      <c r="D31" s="245">
        <v>15</v>
      </c>
      <c r="E31" s="174">
        <v>618400</v>
      </c>
      <c r="F31" s="175">
        <f t="shared" si="14"/>
        <v>9276000</v>
      </c>
      <c r="G31" s="190"/>
      <c r="H31" s="175">
        <f t="shared" si="15"/>
        <v>0</v>
      </c>
      <c r="I31" s="266">
        <f>+BALANCE!G24</f>
        <v>14</v>
      </c>
      <c r="J31" s="175">
        <f t="shared" si="16"/>
        <v>8657600</v>
      </c>
      <c r="K31" s="266">
        <v>1</v>
      </c>
      <c r="L31" s="175">
        <f t="shared" si="17"/>
        <v>618400</v>
      </c>
      <c r="M31" s="266">
        <f t="shared" si="3"/>
        <v>15</v>
      </c>
      <c r="N31" s="175">
        <f t="shared" si="18"/>
        <v>9276000</v>
      </c>
    </row>
    <row r="32" spans="1:14" s="181" customFormat="1" ht="20.100000000000001" customHeight="1" x14ac:dyDescent="0.25">
      <c r="A32" s="171">
        <v>4.04</v>
      </c>
      <c r="B32" s="177" t="s">
        <v>668</v>
      </c>
      <c r="C32" s="184" t="s">
        <v>241</v>
      </c>
      <c r="D32" s="245">
        <v>17</v>
      </c>
      <c r="E32" s="174">
        <v>1584700</v>
      </c>
      <c r="F32" s="175">
        <f t="shared" si="14"/>
        <v>26939900</v>
      </c>
      <c r="G32" s="190"/>
      <c r="H32" s="175">
        <f t="shared" si="15"/>
        <v>0</v>
      </c>
      <c r="I32" s="266">
        <f>+BALANCE!G25</f>
        <v>4</v>
      </c>
      <c r="J32" s="175">
        <f t="shared" si="16"/>
        <v>6338800</v>
      </c>
      <c r="K32" s="266">
        <v>9</v>
      </c>
      <c r="L32" s="175">
        <f t="shared" si="17"/>
        <v>14262300</v>
      </c>
      <c r="M32" s="266">
        <f t="shared" si="3"/>
        <v>13</v>
      </c>
      <c r="N32" s="175">
        <f t="shared" si="18"/>
        <v>20601100</v>
      </c>
    </row>
    <row r="33" spans="1:14" s="181" customFormat="1" ht="20.100000000000001" customHeight="1" x14ac:dyDescent="0.25">
      <c r="A33" s="171">
        <v>4.05</v>
      </c>
      <c r="B33" s="177" t="s">
        <v>669</v>
      </c>
      <c r="C33" s="184" t="s">
        <v>241</v>
      </c>
      <c r="D33" s="245">
        <v>2</v>
      </c>
      <c r="E33" s="174">
        <v>2319100</v>
      </c>
      <c r="F33" s="175">
        <f t="shared" si="14"/>
        <v>4638200</v>
      </c>
      <c r="G33" s="190"/>
      <c r="H33" s="175">
        <f t="shared" si="15"/>
        <v>0</v>
      </c>
      <c r="I33" s="266">
        <f>+BALANCE!G26</f>
        <v>2</v>
      </c>
      <c r="J33" s="175">
        <f t="shared" si="16"/>
        <v>4638200</v>
      </c>
      <c r="K33" s="266">
        <v>0</v>
      </c>
      <c r="L33" s="175">
        <f t="shared" si="17"/>
        <v>0</v>
      </c>
      <c r="M33" s="266">
        <f t="shared" si="3"/>
        <v>2</v>
      </c>
      <c r="N33" s="175">
        <f t="shared" si="18"/>
        <v>4638200</v>
      </c>
    </row>
    <row r="34" spans="1:14" s="181" customFormat="1" ht="20.100000000000001" customHeight="1" x14ac:dyDescent="0.25">
      <c r="A34" s="171">
        <v>4.0599999999999996</v>
      </c>
      <c r="B34" s="177" t="s">
        <v>670</v>
      </c>
      <c r="C34" s="184" t="s">
        <v>241</v>
      </c>
      <c r="D34" s="245">
        <v>1</v>
      </c>
      <c r="E34" s="174">
        <v>4545500</v>
      </c>
      <c r="F34" s="175">
        <f t="shared" si="14"/>
        <v>4545500</v>
      </c>
      <c r="G34" s="190"/>
      <c r="H34" s="175">
        <f t="shared" si="15"/>
        <v>0</v>
      </c>
      <c r="I34" s="266">
        <f>+BALANCE!G27</f>
        <v>0</v>
      </c>
      <c r="J34" s="175">
        <f t="shared" si="16"/>
        <v>0</v>
      </c>
      <c r="K34" s="266">
        <v>1</v>
      </c>
      <c r="L34" s="175">
        <f t="shared" si="17"/>
        <v>4545500</v>
      </c>
      <c r="M34" s="266">
        <f t="shared" si="3"/>
        <v>1</v>
      </c>
      <c r="N34" s="175">
        <f t="shared" si="18"/>
        <v>4545500</v>
      </c>
    </row>
    <row r="35" spans="1:14" s="181" customFormat="1" ht="20.100000000000001" customHeight="1" x14ac:dyDescent="0.25">
      <c r="A35" s="171">
        <v>4.07</v>
      </c>
      <c r="B35" s="177" t="s">
        <v>671</v>
      </c>
      <c r="C35" s="184" t="s">
        <v>241</v>
      </c>
      <c r="D35" s="245">
        <v>1</v>
      </c>
      <c r="E35" s="174">
        <v>5411300</v>
      </c>
      <c r="F35" s="175">
        <f t="shared" si="14"/>
        <v>5411300</v>
      </c>
      <c r="G35" s="190"/>
      <c r="H35" s="175">
        <f t="shared" si="15"/>
        <v>0</v>
      </c>
      <c r="I35" s="266">
        <f>+BALANCE!G28</f>
        <v>1</v>
      </c>
      <c r="J35" s="175">
        <f t="shared" si="16"/>
        <v>5411300</v>
      </c>
      <c r="K35" s="266">
        <v>0</v>
      </c>
      <c r="L35" s="175">
        <f t="shared" si="17"/>
        <v>0</v>
      </c>
      <c r="M35" s="266">
        <f t="shared" si="3"/>
        <v>1</v>
      </c>
      <c r="N35" s="175">
        <f t="shared" si="18"/>
        <v>5411300</v>
      </c>
    </row>
    <row r="36" spans="1:14" s="181" customFormat="1" ht="20.100000000000001" customHeight="1" x14ac:dyDescent="0.25">
      <c r="A36" s="171">
        <v>4.08</v>
      </c>
      <c r="B36" s="177" t="s">
        <v>672</v>
      </c>
      <c r="C36" s="184" t="s">
        <v>241</v>
      </c>
      <c r="D36" s="245">
        <v>30</v>
      </c>
      <c r="E36" s="174">
        <v>44700</v>
      </c>
      <c r="F36" s="175">
        <f t="shared" si="14"/>
        <v>1341000</v>
      </c>
      <c r="G36" s="190"/>
      <c r="H36" s="175">
        <f t="shared" si="15"/>
        <v>0</v>
      </c>
      <c r="I36" s="266">
        <f>+BALANCE!G29</f>
        <v>28</v>
      </c>
      <c r="J36" s="175">
        <f t="shared" si="16"/>
        <v>1251600</v>
      </c>
      <c r="K36" s="266">
        <v>2</v>
      </c>
      <c r="L36" s="175">
        <f t="shared" si="17"/>
        <v>89400</v>
      </c>
      <c r="M36" s="266">
        <f t="shared" si="3"/>
        <v>30</v>
      </c>
      <c r="N36" s="175">
        <f t="shared" si="18"/>
        <v>1341000</v>
      </c>
    </row>
    <row r="37" spans="1:14" s="181" customFormat="1" ht="20.100000000000001" customHeight="1" x14ac:dyDescent="0.25">
      <c r="A37" s="171">
        <v>4.09</v>
      </c>
      <c r="B37" s="177" t="s">
        <v>673</v>
      </c>
      <c r="C37" s="184" t="s">
        <v>241</v>
      </c>
      <c r="D37" s="245">
        <v>6</v>
      </c>
      <c r="E37" s="174">
        <v>26100</v>
      </c>
      <c r="F37" s="175">
        <f t="shared" si="14"/>
        <v>156600</v>
      </c>
      <c r="G37" s="190"/>
      <c r="H37" s="175">
        <f t="shared" si="15"/>
        <v>0</v>
      </c>
      <c r="I37" s="266">
        <f>+BALANCE!G30</f>
        <v>4</v>
      </c>
      <c r="J37" s="175">
        <f t="shared" si="16"/>
        <v>104400</v>
      </c>
      <c r="K37" s="266">
        <v>2</v>
      </c>
      <c r="L37" s="175">
        <f t="shared" si="17"/>
        <v>52200</v>
      </c>
      <c r="M37" s="266">
        <f t="shared" si="3"/>
        <v>6</v>
      </c>
      <c r="N37" s="175">
        <f t="shared" si="18"/>
        <v>156600</v>
      </c>
    </row>
    <row r="38" spans="1:14" s="181" customFormat="1" ht="20.100000000000001" customHeight="1" x14ac:dyDescent="0.25">
      <c r="A38" s="171">
        <v>4.0999999999999996</v>
      </c>
      <c r="B38" s="177" t="s">
        <v>674</v>
      </c>
      <c r="C38" s="184" t="s">
        <v>241</v>
      </c>
      <c r="D38" s="245">
        <v>14</v>
      </c>
      <c r="E38" s="174">
        <v>72600</v>
      </c>
      <c r="F38" s="175">
        <f t="shared" si="14"/>
        <v>1016400</v>
      </c>
      <c r="G38" s="190"/>
      <c r="H38" s="175">
        <f t="shared" si="15"/>
        <v>0</v>
      </c>
      <c r="I38" s="266">
        <f>+BALANCE!G31</f>
        <v>6</v>
      </c>
      <c r="J38" s="175">
        <f t="shared" si="16"/>
        <v>435600</v>
      </c>
      <c r="K38" s="266">
        <v>6</v>
      </c>
      <c r="L38" s="175">
        <f t="shared" si="17"/>
        <v>435600</v>
      </c>
      <c r="M38" s="266">
        <f t="shared" si="3"/>
        <v>12</v>
      </c>
      <c r="N38" s="175">
        <f t="shared" si="18"/>
        <v>871200</v>
      </c>
    </row>
    <row r="39" spans="1:14" s="181" customFormat="1" ht="20.100000000000001" customHeight="1" x14ac:dyDescent="0.25">
      <c r="A39" s="171">
        <v>4.1100000000000003</v>
      </c>
      <c r="B39" s="177" t="s">
        <v>675</v>
      </c>
      <c r="C39" s="184" t="s">
        <v>241</v>
      </c>
      <c r="D39" s="245">
        <v>34</v>
      </c>
      <c r="E39" s="174">
        <v>186500</v>
      </c>
      <c r="F39" s="175">
        <f t="shared" si="14"/>
        <v>6341000</v>
      </c>
      <c r="G39" s="190"/>
      <c r="H39" s="175">
        <f t="shared" si="15"/>
        <v>0</v>
      </c>
      <c r="I39" s="266">
        <f>+BALANCE!G32</f>
        <v>8</v>
      </c>
      <c r="J39" s="175">
        <f t="shared" si="16"/>
        <v>1492000</v>
      </c>
      <c r="K39" s="266">
        <v>18</v>
      </c>
      <c r="L39" s="175">
        <f t="shared" si="17"/>
        <v>3357000</v>
      </c>
      <c r="M39" s="266">
        <f t="shared" si="3"/>
        <v>26</v>
      </c>
      <c r="N39" s="175">
        <f t="shared" si="18"/>
        <v>4849000</v>
      </c>
    </row>
    <row r="40" spans="1:14" s="181" customFormat="1" ht="20.100000000000001" customHeight="1" x14ac:dyDescent="0.25">
      <c r="A40" s="171">
        <v>4.12</v>
      </c>
      <c r="B40" s="177" t="s">
        <v>676</v>
      </c>
      <c r="C40" s="184" t="s">
        <v>241</v>
      </c>
      <c r="D40" s="245">
        <v>4</v>
      </c>
      <c r="E40" s="174">
        <v>342700</v>
      </c>
      <c r="F40" s="175">
        <f t="shared" si="14"/>
        <v>1370800</v>
      </c>
      <c r="G40" s="190"/>
      <c r="H40" s="175">
        <f t="shared" si="15"/>
        <v>0</v>
      </c>
      <c r="I40" s="266">
        <f>+BALANCE!G33</f>
        <v>4</v>
      </c>
      <c r="J40" s="175">
        <f t="shared" si="16"/>
        <v>1370800</v>
      </c>
      <c r="K40" s="266">
        <v>0</v>
      </c>
      <c r="L40" s="175">
        <f t="shared" si="17"/>
        <v>0</v>
      </c>
      <c r="M40" s="266">
        <f t="shared" si="3"/>
        <v>4</v>
      </c>
      <c r="N40" s="175">
        <f t="shared" si="18"/>
        <v>1370800</v>
      </c>
    </row>
    <row r="41" spans="1:14" s="181" customFormat="1" ht="20.100000000000001" customHeight="1" x14ac:dyDescent="0.25">
      <c r="A41" s="171">
        <v>4.13</v>
      </c>
      <c r="B41" s="177" t="s">
        <v>677</v>
      </c>
      <c r="C41" s="184" t="s">
        <v>241</v>
      </c>
      <c r="D41" s="245">
        <v>2</v>
      </c>
      <c r="E41" s="174">
        <v>612200</v>
      </c>
      <c r="F41" s="175">
        <f t="shared" si="14"/>
        <v>1224400</v>
      </c>
      <c r="G41" s="190"/>
      <c r="H41" s="175">
        <f t="shared" si="15"/>
        <v>0</v>
      </c>
      <c r="I41" s="266">
        <f>+BALANCE!G34</f>
        <v>0</v>
      </c>
      <c r="J41" s="175">
        <f t="shared" si="16"/>
        <v>0</v>
      </c>
      <c r="K41" s="266">
        <v>2</v>
      </c>
      <c r="L41" s="175">
        <f t="shared" si="17"/>
        <v>1224400</v>
      </c>
      <c r="M41" s="266">
        <f t="shared" si="3"/>
        <v>2</v>
      </c>
      <c r="N41" s="175">
        <f t="shared" si="18"/>
        <v>1224400</v>
      </c>
    </row>
    <row r="42" spans="1:14" s="181" customFormat="1" ht="20.100000000000001" customHeight="1" x14ac:dyDescent="0.25">
      <c r="A42" s="171">
        <v>4.1399999999999997</v>
      </c>
      <c r="B42" s="177" t="s">
        <v>678</v>
      </c>
      <c r="C42" s="184" t="s">
        <v>241</v>
      </c>
      <c r="D42" s="245">
        <v>2</v>
      </c>
      <c r="E42" s="174">
        <v>948800</v>
      </c>
      <c r="F42" s="175">
        <f t="shared" si="14"/>
        <v>1897600</v>
      </c>
      <c r="G42" s="190"/>
      <c r="H42" s="175">
        <f t="shared" si="15"/>
        <v>0</v>
      </c>
      <c r="I42" s="266">
        <f>+BALANCE!G35</f>
        <v>2</v>
      </c>
      <c r="J42" s="175">
        <f t="shared" si="16"/>
        <v>1897600</v>
      </c>
      <c r="K42" s="266">
        <v>0</v>
      </c>
      <c r="L42" s="175">
        <f t="shared" si="17"/>
        <v>0</v>
      </c>
      <c r="M42" s="266">
        <f t="shared" si="3"/>
        <v>2</v>
      </c>
      <c r="N42" s="175">
        <f t="shared" si="18"/>
        <v>1897600</v>
      </c>
    </row>
    <row r="43" spans="1:14" s="181" customFormat="1" ht="20.100000000000001" customHeight="1" x14ac:dyDescent="0.25">
      <c r="A43" s="171">
        <v>4.1500000000000004</v>
      </c>
      <c r="B43" s="177" t="s">
        <v>679</v>
      </c>
      <c r="C43" s="184" t="s">
        <v>60</v>
      </c>
      <c r="D43" s="245">
        <v>14</v>
      </c>
      <c r="E43" s="174">
        <v>237100</v>
      </c>
      <c r="F43" s="175">
        <f t="shared" si="14"/>
        <v>3319400</v>
      </c>
      <c r="G43" s="190"/>
      <c r="H43" s="175">
        <f t="shared" si="15"/>
        <v>0</v>
      </c>
      <c r="I43" s="266">
        <f>+BALANCE!G36</f>
        <v>0</v>
      </c>
      <c r="J43" s="175">
        <f t="shared" si="16"/>
        <v>0</v>
      </c>
      <c r="K43" s="266">
        <v>0</v>
      </c>
      <c r="L43" s="175">
        <f t="shared" si="17"/>
        <v>0</v>
      </c>
      <c r="M43" s="266">
        <f t="shared" si="3"/>
        <v>0</v>
      </c>
      <c r="N43" s="175">
        <f t="shared" si="18"/>
        <v>0</v>
      </c>
    </row>
    <row r="44" spans="1:14" s="181" customFormat="1" ht="20.100000000000001" customHeight="1" x14ac:dyDescent="0.25">
      <c r="A44" s="171">
        <v>4.16</v>
      </c>
      <c r="B44" s="177" t="s">
        <v>680</v>
      </c>
      <c r="C44" s="184" t="s">
        <v>60</v>
      </c>
      <c r="D44" s="245">
        <v>6</v>
      </c>
      <c r="E44" s="174">
        <v>71000</v>
      </c>
      <c r="F44" s="175">
        <f t="shared" si="14"/>
        <v>426000</v>
      </c>
      <c r="G44" s="190"/>
      <c r="H44" s="175">
        <f t="shared" si="15"/>
        <v>0</v>
      </c>
      <c r="I44" s="266">
        <f>+BALANCE!G37</f>
        <v>0</v>
      </c>
      <c r="J44" s="175">
        <f t="shared" si="16"/>
        <v>0</v>
      </c>
      <c r="K44" s="266">
        <v>0</v>
      </c>
      <c r="L44" s="175">
        <f t="shared" si="17"/>
        <v>0</v>
      </c>
      <c r="M44" s="266">
        <f t="shared" si="3"/>
        <v>0</v>
      </c>
      <c r="N44" s="175">
        <f t="shared" si="18"/>
        <v>0</v>
      </c>
    </row>
    <row r="45" spans="1:14" s="181" customFormat="1" ht="20.100000000000001" customHeight="1" x14ac:dyDescent="0.25">
      <c r="A45" s="171">
        <v>4.17</v>
      </c>
      <c r="B45" s="177" t="s">
        <v>681</v>
      </c>
      <c r="C45" s="184" t="s">
        <v>60</v>
      </c>
      <c r="D45" s="245">
        <v>30</v>
      </c>
      <c r="E45" s="174">
        <v>146800</v>
      </c>
      <c r="F45" s="175">
        <f t="shared" si="14"/>
        <v>4404000</v>
      </c>
      <c r="G45" s="190"/>
      <c r="H45" s="175">
        <f t="shared" si="15"/>
        <v>0</v>
      </c>
      <c r="I45" s="266">
        <f>+BALANCE!G38</f>
        <v>0</v>
      </c>
      <c r="J45" s="175">
        <f t="shared" si="16"/>
        <v>0</v>
      </c>
      <c r="K45" s="266">
        <v>0</v>
      </c>
      <c r="L45" s="175">
        <f t="shared" si="17"/>
        <v>0</v>
      </c>
      <c r="M45" s="266">
        <f t="shared" si="3"/>
        <v>0</v>
      </c>
      <c r="N45" s="175">
        <f t="shared" si="18"/>
        <v>0</v>
      </c>
    </row>
    <row r="46" spans="1:14" s="181" customFormat="1" ht="20.100000000000001" customHeight="1" x14ac:dyDescent="0.25">
      <c r="A46" s="171">
        <v>4.18</v>
      </c>
      <c r="B46" s="177" t="s">
        <v>682</v>
      </c>
      <c r="C46" s="184" t="s">
        <v>60</v>
      </c>
      <c r="D46" s="245">
        <v>34</v>
      </c>
      <c r="E46" s="174">
        <v>113900</v>
      </c>
      <c r="F46" s="175">
        <f t="shared" si="14"/>
        <v>3872600</v>
      </c>
      <c r="G46" s="190"/>
      <c r="H46" s="175">
        <f t="shared" si="15"/>
        <v>0</v>
      </c>
      <c r="I46" s="266">
        <f>+BALANCE!G39</f>
        <v>0</v>
      </c>
      <c r="J46" s="175">
        <f t="shared" si="16"/>
        <v>0</v>
      </c>
      <c r="K46" s="266">
        <v>0</v>
      </c>
      <c r="L46" s="175">
        <f t="shared" si="17"/>
        <v>0</v>
      </c>
      <c r="M46" s="266">
        <f t="shared" si="3"/>
        <v>0</v>
      </c>
      <c r="N46" s="175">
        <f t="shared" si="18"/>
        <v>0</v>
      </c>
    </row>
    <row r="47" spans="1:14" s="181" customFormat="1" ht="21.95" customHeight="1" x14ac:dyDescent="0.25">
      <c r="A47" s="171">
        <v>4.1900000000000004</v>
      </c>
      <c r="B47" s="177" t="s">
        <v>683</v>
      </c>
      <c r="C47" s="184" t="s">
        <v>60</v>
      </c>
      <c r="D47" s="245">
        <v>4</v>
      </c>
      <c r="E47" s="174">
        <v>183300</v>
      </c>
      <c r="F47" s="175">
        <f t="shared" si="14"/>
        <v>733200</v>
      </c>
      <c r="G47" s="190"/>
      <c r="H47" s="175">
        <f t="shared" si="15"/>
        <v>0</v>
      </c>
      <c r="I47" s="266">
        <f>+BALANCE!G40</f>
        <v>0</v>
      </c>
      <c r="J47" s="175">
        <f t="shared" si="16"/>
        <v>0</v>
      </c>
      <c r="K47" s="266">
        <v>0</v>
      </c>
      <c r="L47" s="175">
        <f t="shared" si="17"/>
        <v>0</v>
      </c>
      <c r="M47" s="266">
        <f t="shared" si="3"/>
        <v>0</v>
      </c>
      <c r="N47" s="175">
        <f t="shared" si="18"/>
        <v>0</v>
      </c>
    </row>
    <row r="48" spans="1:14" s="181" customFormat="1" ht="21.95" customHeight="1" x14ac:dyDescent="0.25">
      <c r="A48" s="171">
        <v>4.2</v>
      </c>
      <c r="B48" s="177" t="s">
        <v>684</v>
      </c>
      <c r="C48" s="184" t="s">
        <v>60</v>
      </c>
      <c r="D48" s="245">
        <v>2</v>
      </c>
      <c r="E48" s="174">
        <v>278200</v>
      </c>
      <c r="F48" s="175">
        <f t="shared" si="14"/>
        <v>556400</v>
      </c>
      <c r="G48" s="190"/>
      <c r="H48" s="175">
        <f t="shared" si="15"/>
        <v>0</v>
      </c>
      <c r="I48" s="266">
        <f>+BALANCE!G41</f>
        <v>0</v>
      </c>
      <c r="J48" s="175">
        <f t="shared" si="16"/>
        <v>0</v>
      </c>
      <c r="K48" s="266">
        <v>0</v>
      </c>
      <c r="L48" s="175">
        <f t="shared" si="17"/>
        <v>0</v>
      </c>
      <c r="M48" s="266">
        <f t="shared" si="3"/>
        <v>0</v>
      </c>
      <c r="N48" s="175">
        <f t="shared" si="18"/>
        <v>0</v>
      </c>
    </row>
    <row r="49" spans="1:14" s="181" customFormat="1" ht="21.95" customHeight="1" x14ac:dyDescent="0.25">
      <c r="A49" s="171">
        <v>4.21</v>
      </c>
      <c r="B49" s="177" t="s">
        <v>685</v>
      </c>
      <c r="C49" s="184" t="s">
        <v>60</v>
      </c>
      <c r="D49" s="245">
        <v>2</v>
      </c>
      <c r="E49" s="174">
        <v>381800</v>
      </c>
      <c r="F49" s="175">
        <f t="shared" si="14"/>
        <v>763600</v>
      </c>
      <c r="G49" s="190"/>
      <c r="H49" s="175">
        <f t="shared" si="15"/>
        <v>0</v>
      </c>
      <c r="I49" s="266">
        <f>+BALANCE!G42</f>
        <v>0</v>
      </c>
      <c r="J49" s="175">
        <f t="shared" si="16"/>
        <v>0</v>
      </c>
      <c r="K49" s="266">
        <v>0</v>
      </c>
      <c r="L49" s="175">
        <f t="shared" si="17"/>
        <v>0</v>
      </c>
      <c r="M49" s="266">
        <f t="shared" si="3"/>
        <v>0</v>
      </c>
      <c r="N49" s="175">
        <f t="shared" si="18"/>
        <v>0</v>
      </c>
    </row>
    <row r="50" spans="1:14" s="181" customFormat="1" x14ac:dyDescent="0.25">
      <c r="A50" s="190"/>
      <c r="B50" s="179" t="s">
        <v>655</v>
      </c>
      <c r="C50" s="186" t="s">
        <v>650</v>
      </c>
      <c r="D50" s="188" t="s">
        <v>650</v>
      </c>
      <c r="E50" s="187"/>
      <c r="F50" s="180">
        <f>SUM(F29:F49)</f>
        <v>85268400</v>
      </c>
      <c r="G50" s="190"/>
      <c r="H50" s="180">
        <f>SUM(H29:H49)</f>
        <v>0</v>
      </c>
      <c r="I50" s="266" t="str">
        <f>+BALANCE!G43</f>
        <v xml:space="preserve"> </v>
      </c>
      <c r="J50" s="180">
        <f>SUM(J29:J49)</f>
        <v>34921900</v>
      </c>
      <c r="K50" s="266"/>
      <c r="L50" s="180">
        <f>SUM(L29:L49)</f>
        <v>27475900</v>
      </c>
      <c r="M50" s="266"/>
      <c r="N50" s="180">
        <f>SUM(N29:N49)</f>
        <v>62397800</v>
      </c>
    </row>
    <row r="51" spans="1:14" s="181" customFormat="1" ht="18.75" customHeight="1" x14ac:dyDescent="0.25">
      <c r="A51" s="178">
        <v>5</v>
      </c>
      <c r="B51" s="179" t="s">
        <v>686</v>
      </c>
      <c r="C51" s="186"/>
      <c r="D51" s="188"/>
      <c r="E51" s="186"/>
      <c r="F51" s="189"/>
      <c r="G51" s="190"/>
      <c r="H51" s="191"/>
      <c r="I51" s="266"/>
      <c r="J51" s="189"/>
      <c r="K51" s="266"/>
      <c r="L51" s="189"/>
      <c r="M51" s="266"/>
      <c r="N51" s="189"/>
    </row>
    <row r="52" spans="1:14" ht="18.75" customHeight="1" x14ac:dyDescent="0.25">
      <c r="A52" s="171">
        <v>5.01</v>
      </c>
      <c r="B52" s="194" t="s">
        <v>687</v>
      </c>
      <c r="C52" s="241" t="s">
        <v>241</v>
      </c>
      <c r="D52" s="195">
        <v>46</v>
      </c>
      <c r="E52" s="174">
        <v>37200</v>
      </c>
      <c r="F52" s="175">
        <f>ROUND(D52*E52,0)</f>
        <v>1711200</v>
      </c>
      <c r="G52" s="255"/>
      <c r="H52" s="175">
        <f t="shared" ref="H52:H53" si="19">ROUND(G52*E52,0)</f>
        <v>0</v>
      </c>
      <c r="I52" s="266">
        <f>+BALANCE!G45</f>
        <v>26</v>
      </c>
      <c r="J52" s="175">
        <f t="shared" ref="J52:J53" si="20">ROUND(E52*I52,0)</f>
        <v>967200</v>
      </c>
      <c r="K52" s="266">
        <v>15</v>
      </c>
      <c r="L52" s="175">
        <f t="shared" ref="L52:L53" si="21">ROUND(E52*K52,0)</f>
        <v>558000</v>
      </c>
      <c r="M52" s="266">
        <f t="shared" si="3"/>
        <v>41</v>
      </c>
      <c r="N52" s="175">
        <f t="shared" ref="N52:N53" si="22">ROUND(E52*M52,0)</f>
        <v>1525200</v>
      </c>
    </row>
    <row r="53" spans="1:14" ht="16.5" customHeight="1" x14ac:dyDescent="0.2">
      <c r="A53" s="171">
        <v>5.0199999999999996</v>
      </c>
      <c r="B53" s="192" t="s">
        <v>688</v>
      </c>
      <c r="C53" s="173" t="s">
        <v>689</v>
      </c>
      <c r="D53" s="244">
        <v>1</v>
      </c>
      <c r="E53" s="174">
        <v>1499100</v>
      </c>
      <c r="F53" s="175">
        <f>ROUND(D53*E53,0)</f>
        <v>1499100</v>
      </c>
      <c r="G53" s="255"/>
      <c r="H53" s="175">
        <f t="shared" si="19"/>
        <v>0</v>
      </c>
      <c r="I53" s="266">
        <f>+BALANCE!G46</f>
        <v>0</v>
      </c>
      <c r="J53" s="175">
        <f t="shared" si="20"/>
        <v>0</v>
      </c>
      <c r="K53" s="266">
        <v>0</v>
      </c>
      <c r="L53" s="175">
        <f t="shared" si="21"/>
        <v>0</v>
      </c>
      <c r="M53" s="266">
        <f t="shared" si="3"/>
        <v>0</v>
      </c>
      <c r="N53" s="175">
        <f t="shared" si="22"/>
        <v>0</v>
      </c>
    </row>
    <row r="54" spans="1:14" s="181" customFormat="1" ht="21.95" customHeight="1" x14ac:dyDescent="0.25">
      <c r="A54" s="178"/>
      <c r="B54" s="186"/>
      <c r="C54" s="186"/>
      <c r="D54" s="188"/>
      <c r="E54" s="186" t="s">
        <v>655</v>
      </c>
      <c r="F54" s="180">
        <f>SUM(F52:F53)</f>
        <v>3210300</v>
      </c>
      <c r="G54" s="190"/>
      <c r="H54" s="180">
        <f>SUM(H52:H53)</f>
        <v>0</v>
      </c>
      <c r="I54" s="267"/>
      <c r="J54" s="180">
        <f>SUM(J52:J53)</f>
        <v>967200</v>
      </c>
      <c r="K54" s="267"/>
      <c r="L54" s="180">
        <f>SUM(L52:L53)</f>
        <v>558000</v>
      </c>
      <c r="M54" s="266"/>
      <c r="N54" s="180">
        <f>SUM(N52:N53)</f>
        <v>1525200</v>
      </c>
    </row>
    <row r="55" spans="1:14" s="181" customFormat="1" hidden="1" x14ac:dyDescent="0.25">
      <c r="A55" s="178">
        <v>7</v>
      </c>
      <c r="B55" s="193" t="s">
        <v>774</v>
      </c>
      <c r="C55" s="178"/>
      <c r="D55" s="188"/>
      <c r="E55" s="186"/>
      <c r="F55" s="189"/>
      <c r="G55" s="190"/>
      <c r="H55" s="191"/>
      <c r="I55" s="267"/>
      <c r="J55" s="189"/>
      <c r="K55" s="267"/>
      <c r="L55" s="189"/>
      <c r="M55" s="266"/>
      <c r="N55" s="189"/>
    </row>
    <row r="56" spans="1:14" s="181" customFormat="1" hidden="1" x14ac:dyDescent="0.25">
      <c r="A56" s="171">
        <v>7.1</v>
      </c>
      <c r="B56" s="194" t="s">
        <v>775</v>
      </c>
      <c r="C56" s="171" t="s">
        <v>241</v>
      </c>
      <c r="D56" s="195">
        <v>0</v>
      </c>
      <c r="E56" s="174">
        <v>1034757</v>
      </c>
      <c r="F56" s="175">
        <f t="shared" ref="F56:F63" si="23">D56*E56</f>
        <v>0</v>
      </c>
      <c r="G56" s="255">
        <v>0</v>
      </c>
      <c r="H56" s="175">
        <f t="shared" ref="H56:H63" si="24">G56*E56</f>
        <v>0</v>
      </c>
      <c r="I56" s="266">
        <v>0</v>
      </c>
      <c r="J56" s="175">
        <f>I56*E56</f>
        <v>0</v>
      </c>
      <c r="K56" s="266">
        <v>0</v>
      </c>
      <c r="L56" s="175">
        <f>K56*G56</f>
        <v>0</v>
      </c>
      <c r="M56" s="266">
        <f t="shared" ref="M56:M63" si="25">I56-G56</f>
        <v>0</v>
      </c>
      <c r="N56" s="175">
        <f>M56*E56</f>
        <v>0</v>
      </c>
    </row>
    <row r="57" spans="1:14" s="181" customFormat="1" hidden="1" x14ac:dyDescent="0.25">
      <c r="A57" s="171">
        <v>7.2</v>
      </c>
      <c r="B57" s="194" t="s">
        <v>776</v>
      </c>
      <c r="C57" s="171" t="s">
        <v>241</v>
      </c>
      <c r="D57" s="195">
        <v>0</v>
      </c>
      <c r="E57" s="174">
        <v>2840347</v>
      </c>
      <c r="F57" s="175">
        <f t="shared" si="23"/>
        <v>0</v>
      </c>
      <c r="G57" s="255">
        <v>0</v>
      </c>
      <c r="H57" s="175">
        <f t="shared" si="24"/>
        <v>0</v>
      </c>
      <c r="I57" s="266">
        <v>0</v>
      </c>
      <c r="J57" s="175">
        <f t="shared" ref="J57:J63" si="26">I57*E57</f>
        <v>0</v>
      </c>
      <c r="K57" s="266">
        <v>0</v>
      </c>
      <c r="L57" s="175">
        <f t="shared" ref="L57:L63" si="27">K57*G57</f>
        <v>0</v>
      </c>
      <c r="M57" s="266">
        <f t="shared" si="25"/>
        <v>0</v>
      </c>
      <c r="N57" s="175">
        <f t="shared" ref="N57:N63" si="28">M57*E57</f>
        <v>0</v>
      </c>
    </row>
    <row r="58" spans="1:14" s="181" customFormat="1" hidden="1" x14ac:dyDescent="0.25">
      <c r="A58" s="171">
        <v>7.3</v>
      </c>
      <c r="B58" s="194" t="s">
        <v>777</v>
      </c>
      <c r="C58" s="171" t="s">
        <v>216</v>
      </c>
      <c r="D58" s="195">
        <v>0</v>
      </c>
      <c r="E58" s="174">
        <v>20000.000006073915</v>
      </c>
      <c r="F58" s="175">
        <f t="shared" si="23"/>
        <v>0</v>
      </c>
      <c r="G58" s="255">
        <v>0</v>
      </c>
      <c r="H58" s="175">
        <f t="shared" si="24"/>
        <v>0</v>
      </c>
      <c r="I58" s="266">
        <v>0</v>
      </c>
      <c r="J58" s="175">
        <f t="shared" si="26"/>
        <v>0</v>
      </c>
      <c r="K58" s="266">
        <v>0</v>
      </c>
      <c r="L58" s="175">
        <f t="shared" si="27"/>
        <v>0</v>
      </c>
      <c r="M58" s="266">
        <f t="shared" si="25"/>
        <v>0</v>
      </c>
      <c r="N58" s="175">
        <f t="shared" si="28"/>
        <v>0</v>
      </c>
    </row>
    <row r="59" spans="1:14" s="181" customFormat="1" ht="24" hidden="1" x14ac:dyDescent="0.25">
      <c r="A59" s="171">
        <v>7.4</v>
      </c>
      <c r="B59" s="194" t="s">
        <v>778</v>
      </c>
      <c r="C59" s="171" t="s">
        <v>216</v>
      </c>
      <c r="D59" s="195">
        <v>0</v>
      </c>
      <c r="E59" s="174">
        <v>104616.00000118</v>
      </c>
      <c r="F59" s="175">
        <f t="shared" si="23"/>
        <v>0</v>
      </c>
      <c r="G59" s="255">
        <v>0</v>
      </c>
      <c r="H59" s="175">
        <f t="shared" si="24"/>
        <v>0</v>
      </c>
      <c r="I59" s="266">
        <v>0</v>
      </c>
      <c r="J59" s="175">
        <f t="shared" si="26"/>
        <v>0</v>
      </c>
      <c r="K59" s="266">
        <v>0</v>
      </c>
      <c r="L59" s="175">
        <f t="shared" si="27"/>
        <v>0</v>
      </c>
      <c r="M59" s="266">
        <f t="shared" si="25"/>
        <v>0</v>
      </c>
      <c r="N59" s="175">
        <f t="shared" si="28"/>
        <v>0</v>
      </c>
    </row>
    <row r="60" spans="1:14" s="181" customFormat="1" ht="24" hidden="1" x14ac:dyDescent="0.25">
      <c r="A60" s="171">
        <v>7.5</v>
      </c>
      <c r="B60" s="194" t="s">
        <v>779</v>
      </c>
      <c r="C60" s="171" t="s">
        <v>60</v>
      </c>
      <c r="D60" s="195">
        <v>0</v>
      </c>
      <c r="E60" s="174">
        <v>109925.00000637177</v>
      </c>
      <c r="F60" s="175">
        <f t="shared" si="23"/>
        <v>0</v>
      </c>
      <c r="G60" s="255">
        <v>0</v>
      </c>
      <c r="H60" s="175">
        <f t="shared" si="24"/>
        <v>0</v>
      </c>
      <c r="I60" s="266">
        <v>0</v>
      </c>
      <c r="J60" s="175">
        <f t="shared" si="26"/>
        <v>0</v>
      </c>
      <c r="K60" s="266">
        <v>0</v>
      </c>
      <c r="L60" s="175">
        <f t="shared" si="27"/>
        <v>0</v>
      </c>
      <c r="M60" s="266">
        <f t="shared" si="25"/>
        <v>0</v>
      </c>
      <c r="N60" s="175">
        <f t="shared" si="28"/>
        <v>0</v>
      </c>
    </row>
    <row r="61" spans="1:14" s="181" customFormat="1" ht="24" hidden="1" x14ac:dyDescent="0.25">
      <c r="A61" s="171">
        <v>7.6</v>
      </c>
      <c r="B61" s="194" t="s">
        <v>780</v>
      </c>
      <c r="C61" s="171" t="s">
        <v>60</v>
      </c>
      <c r="D61" s="195">
        <v>0</v>
      </c>
      <c r="E61" s="174">
        <v>118950.00000271358</v>
      </c>
      <c r="F61" s="175">
        <f t="shared" si="23"/>
        <v>0</v>
      </c>
      <c r="G61" s="255">
        <v>0</v>
      </c>
      <c r="H61" s="175">
        <f t="shared" si="24"/>
        <v>0</v>
      </c>
      <c r="I61" s="266">
        <v>0</v>
      </c>
      <c r="J61" s="175">
        <f t="shared" si="26"/>
        <v>0</v>
      </c>
      <c r="K61" s="266">
        <v>0</v>
      </c>
      <c r="L61" s="175">
        <f t="shared" si="27"/>
        <v>0</v>
      </c>
      <c r="M61" s="266">
        <f t="shared" si="25"/>
        <v>0</v>
      </c>
      <c r="N61" s="175">
        <f t="shared" si="28"/>
        <v>0</v>
      </c>
    </row>
    <row r="62" spans="1:14" s="181" customFormat="1" ht="24" hidden="1" x14ac:dyDescent="0.25">
      <c r="A62" s="171">
        <v>7.7</v>
      </c>
      <c r="B62" s="194" t="s">
        <v>781</v>
      </c>
      <c r="C62" s="171" t="s">
        <v>241</v>
      </c>
      <c r="D62" s="195">
        <v>0</v>
      </c>
      <c r="E62" s="174">
        <v>2003624</v>
      </c>
      <c r="F62" s="175">
        <f t="shared" si="23"/>
        <v>0</v>
      </c>
      <c r="G62" s="255">
        <v>0</v>
      </c>
      <c r="H62" s="175">
        <f t="shared" si="24"/>
        <v>0</v>
      </c>
      <c r="I62" s="266">
        <v>0</v>
      </c>
      <c r="J62" s="175">
        <f t="shared" si="26"/>
        <v>0</v>
      </c>
      <c r="K62" s="266">
        <v>0</v>
      </c>
      <c r="L62" s="175">
        <f t="shared" si="27"/>
        <v>0</v>
      </c>
      <c r="M62" s="266">
        <f t="shared" si="25"/>
        <v>0</v>
      </c>
      <c r="N62" s="175">
        <f t="shared" si="28"/>
        <v>0</v>
      </c>
    </row>
    <row r="63" spans="1:14" s="181" customFormat="1" hidden="1" x14ac:dyDescent="0.25">
      <c r="A63" s="171">
        <v>7.8</v>
      </c>
      <c r="B63" s="194" t="s">
        <v>782</v>
      </c>
      <c r="C63" s="171" t="s">
        <v>216</v>
      </c>
      <c r="D63" s="195">
        <v>0</v>
      </c>
      <c r="E63" s="174">
        <v>104173.00000000934</v>
      </c>
      <c r="F63" s="175">
        <f t="shared" si="23"/>
        <v>0</v>
      </c>
      <c r="G63" s="255">
        <v>0</v>
      </c>
      <c r="H63" s="175">
        <f t="shared" si="24"/>
        <v>0</v>
      </c>
      <c r="I63" s="266">
        <v>0</v>
      </c>
      <c r="J63" s="175">
        <f t="shared" si="26"/>
        <v>0</v>
      </c>
      <c r="K63" s="266">
        <v>0</v>
      </c>
      <c r="L63" s="175">
        <f t="shared" si="27"/>
        <v>0</v>
      </c>
      <c r="M63" s="266">
        <f t="shared" si="25"/>
        <v>0</v>
      </c>
      <c r="N63" s="175">
        <f t="shared" si="28"/>
        <v>0</v>
      </c>
    </row>
    <row r="64" spans="1:14" s="181" customFormat="1" ht="12.75" hidden="1" thickBot="1" x14ac:dyDescent="0.3">
      <c r="A64" s="196"/>
      <c r="B64" s="197"/>
      <c r="C64" s="196"/>
      <c r="D64" s="246"/>
      <c r="E64" s="198" t="s">
        <v>655</v>
      </c>
      <c r="F64" s="199">
        <f>SUM(F56:F63)</f>
        <v>0</v>
      </c>
      <c r="G64" s="256"/>
      <c r="H64" s="199">
        <f>SUM(H56:H63)</f>
        <v>0</v>
      </c>
      <c r="I64" s="256"/>
      <c r="J64" s="199">
        <f>SUM(J56:J63)</f>
        <v>0</v>
      </c>
      <c r="K64" s="256"/>
      <c r="L64" s="199">
        <f>SUM(L56:L63)</f>
        <v>0</v>
      </c>
      <c r="M64" s="269"/>
      <c r="N64" s="199">
        <f>SUM(N56:N63)</f>
        <v>0</v>
      </c>
    </row>
    <row r="65" spans="1:14" ht="12.75" thickBot="1" x14ac:dyDescent="0.3">
      <c r="A65" s="316"/>
      <c r="B65" s="317"/>
      <c r="C65" s="317"/>
      <c r="D65" s="317"/>
      <c r="E65" s="317"/>
      <c r="F65" s="317"/>
      <c r="G65" s="317"/>
      <c r="H65" s="317"/>
      <c r="I65" s="317"/>
      <c r="J65" s="317"/>
      <c r="K65" s="317"/>
      <c r="L65" s="317"/>
      <c r="M65" s="317"/>
      <c r="N65" s="318"/>
    </row>
    <row r="66" spans="1:14" ht="17.25" customHeight="1" x14ac:dyDescent="0.25">
      <c r="A66" s="538" t="s">
        <v>783</v>
      </c>
      <c r="B66" s="539"/>
      <c r="C66" s="200"/>
      <c r="D66" s="275"/>
      <c r="E66" s="201"/>
      <c r="F66" s="202">
        <f>SUM(F17,F22,F50,F27,F54,F64)</f>
        <v>111168867</v>
      </c>
      <c r="G66" s="257"/>
      <c r="H66" s="202">
        <f>SUM(H17,H22,H50,H27,H64)</f>
        <v>0</v>
      </c>
      <c r="I66" s="257"/>
      <c r="J66" s="202">
        <f>SUM(J17,J22,J50,J27,J54,J64)</f>
        <v>44610392</v>
      </c>
      <c r="K66" s="257"/>
      <c r="L66" s="202">
        <f>SUM(L17,L22,L50,L27,L54,L64)</f>
        <v>32809880</v>
      </c>
      <c r="M66" s="270"/>
      <c r="N66" s="202">
        <f>SUM(N17,N22,N50,N27,N54,N64)</f>
        <v>77420272</v>
      </c>
    </row>
    <row r="67" spans="1:14" ht="19.5" customHeight="1" x14ac:dyDescent="0.25">
      <c r="A67" s="502" t="s">
        <v>784</v>
      </c>
      <c r="B67" s="503"/>
      <c r="C67" s="203"/>
      <c r="D67" s="277">
        <v>0.28000000000000003</v>
      </c>
      <c r="E67" s="204"/>
      <c r="F67" s="205">
        <f>ROUND(F66*D67,2)</f>
        <v>31127282.760000002</v>
      </c>
      <c r="G67" s="258"/>
      <c r="H67" s="205">
        <f>ROUND(H66*D67,2)</f>
        <v>0</v>
      </c>
      <c r="I67" s="258"/>
      <c r="J67" s="205">
        <f>ROUND(J66*D67,2)</f>
        <v>12490909.76</v>
      </c>
      <c r="K67" s="258"/>
      <c r="L67" s="205">
        <f>ROUND(L66*D67,2)</f>
        <v>9186766.4000000004</v>
      </c>
      <c r="M67" s="258"/>
      <c r="N67" s="205">
        <f>ROUND(N66*D67,2)</f>
        <v>21677676.16</v>
      </c>
    </row>
    <row r="68" spans="1:14" ht="18.75" customHeight="1" x14ac:dyDescent="0.25">
      <c r="A68" s="504" t="s">
        <v>785</v>
      </c>
      <c r="B68" s="505"/>
      <c r="C68" s="206"/>
      <c r="D68" s="278">
        <v>0.02</v>
      </c>
      <c r="E68" s="207"/>
      <c r="F68" s="205">
        <f>ROUND(F66*D68,2)</f>
        <v>2223377.34</v>
      </c>
      <c r="G68" s="259"/>
      <c r="H68" s="205">
        <f>ROUND(H66*D68,2)</f>
        <v>0</v>
      </c>
      <c r="I68" s="259"/>
      <c r="J68" s="205">
        <f>ROUND(J66*D68,2)</f>
        <v>892207.84</v>
      </c>
      <c r="K68" s="259"/>
      <c r="L68" s="205">
        <f>ROUND(L66*D68,2)</f>
        <v>656197.6</v>
      </c>
      <c r="M68" s="259"/>
      <c r="N68" s="205">
        <f>ROUND(N66*D68,2)</f>
        <v>1548405.44</v>
      </c>
    </row>
    <row r="69" spans="1:14" ht="17.25" customHeight="1" x14ac:dyDescent="0.25">
      <c r="A69" s="502" t="s">
        <v>786</v>
      </c>
      <c r="B69" s="503"/>
      <c r="C69" s="203"/>
      <c r="D69" s="277">
        <v>0.05</v>
      </c>
      <c r="E69" s="209"/>
      <c r="F69" s="205">
        <f>ROUND(F66*D69,2)</f>
        <v>5558443.3499999996</v>
      </c>
      <c r="G69" s="260"/>
      <c r="H69" s="205">
        <f>ROUND(H66*D69,2)</f>
        <v>0</v>
      </c>
      <c r="I69" s="260"/>
      <c r="J69" s="205">
        <f>ROUND(J66*D69,2)</f>
        <v>2230519.6</v>
      </c>
      <c r="K69" s="260"/>
      <c r="L69" s="205">
        <f>ROUND(L66*D69,2)</f>
        <v>1640494</v>
      </c>
      <c r="M69" s="260"/>
      <c r="N69" s="205">
        <f>ROUND(N66*D69,2)</f>
        <v>3871013.6</v>
      </c>
    </row>
    <row r="70" spans="1:14" ht="18.75" customHeight="1" x14ac:dyDescent="0.25">
      <c r="A70" s="504" t="s">
        <v>787</v>
      </c>
      <c r="B70" s="505"/>
      <c r="C70" s="211"/>
      <c r="D70" s="279"/>
      <c r="E70" s="212"/>
      <c r="F70" s="213">
        <f>ROUND(F66+F67+F68+F69,2)</f>
        <v>150077970.44999999</v>
      </c>
      <c r="G70" s="261"/>
      <c r="H70" s="213">
        <f>ROUND(SUM(H66:H69),2)</f>
        <v>0</v>
      </c>
      <c r="I70" s="259"/>
      <c r="J70" s="213">
        <f>ROUND(J66+J67+J68+J69,2)</f>
        <v>60224029.200000003</v>
      </c>
      <c r="K70" s="259"/>
      <c r="L70" s="213">
        <f>ROUND(L66+L67+L68+L69,2)</f>
        <v>44293338</v>
      </c>
      <c r="M70" s="259"/>
      <c r="N70" s="213">
        <f>ROUND(N66+N67+N68+N69,2)</f>
        <v>104517367.2</v>
      </c>
    </row>
    <row r="71" spans="1:14" ht="21.95" hidden="1" customHeight="1" thickBot="1" x14ac:dyDescent="0.3">
      <c r="A71" s="522" t="s">
        <v>788</v>
      </c>
      <c r="B71" s="523"/>
      <c r="C71" s="273"/>
      <c r="D71" s="248">
        <v>0.2</v>
      </c>
      <c r="E71" s="214"/>
      <c r="F71" s="215">
        <f>ROUND(F70*D71,0)</f>
        <v>30015594</v>
      </c>
      <c r="G71" s="262"/>
      <c r="H71" s="216"/>
      <c r="I71" s="268"/>
      <c r="J71" s="217"/>
      <c r="K71" s="309"/>
      <c r="L71" s="309"/>
      <c r="M71" s="268"/>
      <c r="N71" s="218"/>
    </row>
    <row r="72" spans="1:14" ht="21.95" hidden="1" customHeight="1" x14ac:dyDescent="0.25">
      <c r="A72" s="507" t="s">
        <v>789</v>
      </c>
      <c r="B72" s="508"/>
      <c r="C72" s="509"/>
      <c r="D72" s="510"/>
      <c r="E72" s="510"/>
      <c r="F72" s="510"/>
      <c r="G72" s="510"/>
      <c r="H72" s="510"/>
      <c r="I72" s="511"/>
      <c r="J72" s="219">
        <f>J70*D71</f>
        <v>12044805.840000002</v>
      </c>
      <c r="K72" s="310"/>
      <c r="L72" s="310"/>
      <c r="M72" s="271"/>
      <c r="N72" s="219">
        <f>N70*D71</f>
        <v>20903473.440000001</v>
      </c>
    </row>
    <row r="73" spans="1:14" ht="21.95" hidden="1" customHeight="1" x14ac:dyDescent="0.25">
      <c r="A73" s="512" t="s">
        <v>790</v>
      </c>
      <c r="B73" s="513"/>
      <c r="C73" s="514"/>
      <c r="D73" s="515"/>
      <c r="E73" s="515"/>
      <c r="F73" s="515"/>
      <c r="G73" s="515"/>
      <c r="H73" s="515"/>
      <c r="I73" s="516"/>
      <c r="J73" s="205">
        <f>F71-J72</f>
        <v>17970788.159999996</v>
      </c>
      <c r="K73" s="307"/>
      <c r="L73" s="307"/>
      <c r="M73" s="260"/>
      <c r="N73" s="205">
        <f>F71-N72</f>
        <v>9112120.5599999987</v>
      </c>
    </row>
    <row r="74" spans="1:14" ht="21.95" hidden="1" customHeight="1" thickBot="1" x14ac:dyDescent="0.3">
      <c r="A74" s="517" t="s">
        <v>791</v>
      </c>
      <c r="B74" s="518"/>
      <c r="C74" s="519"/>
      <c r="D74" s="520"/>
      <c r="E74" s="520"/>
      <c r="F74" s="520"/>
      <c r="G74" s="520"/>
      <c r="H74" s="520"/>
      <c r="I74" s="521"/>
      <c r="J74" s="220">
        <f>J70-J72</f>
        <v>48179223.359999999</v>
      </c>
      <c r="K74" s="311"/>
      <c r="L74" s="311"/>
      <c r="M74" s="272"/>
      <c r="N74" s="220">
        <f>N70-N72</f>
        <v>83613893.760000005</v>
      </c>
    </row>
    <row r="75" spans="1:14" ht="18.75" customHeight="1" x14ac:dyDescent="0.25">
      <c r="A75" s="502" t="s">
        <v>792</v>
      </c>
      <c r="B75" s="503"/>
      <c r="C75" s="221"/>
      <c r="D75" s="249"/>
      <c r="E75" s="204"/>
      <c r="F75" s="222"/>
      <c r="G75" s="258"/>
      <c r="H75" s="222"/>
      <c r="I75" s="260"/>
      <c r="J75" s="223">
        <v>0</v>
      </c>
      <c r="K75" s="312"/>
      <c r="L75" s="312">
        <v>0</v>
      </c>
      <c r="M75" s="260"/>
      <c r="N75" s="210"/>
    </row>
    <row r="76" spans="1:14" ht="18.75" customHeight="1" x14ac:dyDescent="0.25">
      <c r="A76" s="504" t="s">
        <v>793</v>
      </c>
      <c r="B76" s="505"/>
      <c r="C76" s="211"/>
      <c r="D76" s="247"/>
      <c r="E76" s="212"/>
      <c r="F76" s="213"/>
      <c r="G76" s="261"/>
      <c r="H76" s="213"/>
      <c r="I76" s="259"/>
      <c r="J76" s="213"/>
      <c r="K76" s="308"/>
      <c r="L76" s="308">
        <f>+L70</f>
        <v>44293338</v>
      </c>
      <c r="M76" s="259"/>
      <c r="N76" s="208"/>
    </row>
    <row r="77" spans="1:14" ht="28.5" customHeight="1" x14ac:dyDescent="0.25">
      <c r="A77" s="224"/>
      <c r="J77" s="225"/>
      <c r="K77" s="225"/>
      <c r="L77" s="225"/>
      <c r="N77" s="226"/>
    </row>
    <row r="78" spans="1:14" ht="36.75" customHeight="1" x14ac:dyDescent="0.25">
      <c r="A78" s="224"/>
      <c r="J78" s="225"/>
      <c r="K78" s="225"/>
      <c r="L78" s="225"/>
      <c r="N78" s="226"/>
    </row>
    <row r="79" spans="1:14" ht="15.75" customHeight="1" x14ac:dyDescent="0.25">
      <c r="A79" s="224"/>
      <c r="B79" s="227"/>
      <c r="E79" s="227"/>
      <c r="F79" s="227"/>
      <c r="G79" s="263"/>
      <c r="I79" s="263"/>
      <c r="J79" s="227"/>
      <c r="K79" s="227"/>
      <c r="L79" s="227"/>
      <c r="M79" s="263"/>
      <c r="N79" s="226"/>
    </row>
    <row r="80" spans="1:14" ht="15.75" customHeight="1" x14ac:dyDescent="0.25">
      <c r="A80" s="224"/>
      <c r="B80" s="228" t="s">
        <v>800</v>
      </c>
      <c r="C80" s="230"/>
      <c r="D80" s="251"/>
      <c r="E80" s="506" t="s">
        <v>794</v>
      </c>
      <c r="F80" s="506"/>
      <c r="G80" s="506"/>
      <c r="H80" s="181"/>
      <c r="I80" s="506" t="s">
        <v>795</v>
      </c>
      <c r="J80" s="506"/>
      <c r="K80" s="506"/>
      <c r="L80" s="506"/>
      <c r="M80" s="506"/>
      <c r="N80" s="229"/>
    </row>
    <row r="81" spans="1:14" x14ac:dyDescent="0.25">
      <c r="A81" s="224"/>
      <c r="B81" s="230" t="s">
        <v>801</v>
      </c>
      <c r="C81" s="230"/>
      <c r="D81" s="251"/>
      <c r="E81" s="506" t="s">
        <v>797</v>
      </c>
      <c r="F81" s="506"/>
      <c r="G81" s="506"/>
      <c r="H81" s="181"/>
      <c r="I81" s="506" t="s">
        <v>798</v>
      </c>
      <c r="J81" s="506"/>
      <c r="K81" s="506"/>
      <c r="L81" s="506"/>
      <c r="M81" s="506"/>
      <c r="N81" s="229"/>
    </row>
    <row r="82" spans="1:14" ht="12.75" thickBot="1" x14ac:dyDescent="0.3">
      <c r="A82" s="231"/>
      <c r="B82" s="232" t="s">
        <v>796</v>
      </c>
      <c r="C82" s="232"/>
      <c r="D82" s="252"/>
      <c r="E82" s="233"/>
      <c r="F82" s="233"/>
      <c r="G82" s="264"/>
      <c r="H82" s="233"/>
      <c r="I82" s="501"/>
      <c r="J82" s="501"/>
      <c r="K82" s="501"/>
      <c r="L82" s="501"/>
      <c r="M82" s="501"/>
      <c r="N82" s="234"/>
    </row>
    <row r="83" spans="1:14" x14ac:dyDescent="0.25">
      <c r="A83" s="235"/>
    </row>
    <row r="85" spans="1:14" ht="28.5" customHeight="1" x14ac:dyDescent="0.25">
      <c r="J85" s="157">
        <f>88*3.4*0.2</f>
        <v>59.84</v>
      </c>
    </row>
    <row r="86" spans="1:14" x14ac:dyDescent="0.25">
      <c r="F86" s="236"/>
    </row>
    <row r="87" spans="1:14" ht="16.5" customHeight="1" x14ac:dyDescent="0.25">
      <c r="H87" s="237"/>
      <c r="J87" s="238"/>
      <c r="K87" s="238"/>
      <c r="L87" s="238"/>
    </row>
    <row r="88" spans="1:14" ht="14.25" customHeight="1" x14ac:dyDescent="0.25">
      <c r="J88" s="238"/>
      <c r="K88" s="238"/>
      <c r="L88" s="238"/>
    </row>
    <row r="89" spans="1:14" ht="15.75" customHeight="1" x14ac:dyDescent="0.25">
      <c r="J89" s="238"/>
      <c r="K89" s="238"/>
      <c r="L89" s="238"/>
    </row>
    <row r="90" spans="1:14" x14ac:dyDescent="0.25">
      <c r="J90" s="238"/>
      <c r="K90" s="238"/>
      <c r="L90" s="238"/>
    </row>
    <row r="91" spans="1:14" x14ac:dyDescent="0.25">
      <c r="J91" s="238"/>
      <c r="K91" s="238"/>
      <c r="L91" s="238"/>
    </row>
    <row r="92" spans="1:14" x14ac:dyDescent="0.25">
      <c r="J92" s="238"/>
      <c r="K92" s="238"/>
      <c r="L92" s="238"/>
    </row>
    <row r="93" spans="1:14" x14ac:dyDescent="0.25">
      <c r="J93" s="238"/>
      <c r="K93" s="238"/>
      <c r="L93" s="238"/>
    </row>
    <row r="95" spans="1:14" x14ac:dyDescent="0.25">
      <c r="J95" s="238"/>
      <c r="K95" s="238"/>
      <c r="L95" s="238"/>
    </row>
    <row r="97" spans="10:12" ht="27" customHeight="1" x14ac:dyDescent="0.25">
      <c r="J97" s="239"/>
      <c r="K97" s="239"/>
      <c r="L97" s="239"/>
    </row>
    <row r="99" spans="10:12" x14ac:dyDescent="0.25">
      <c r="J99" s="238"/>
      <c r="K99" s="238"/>
      <c r="L99" s="238"/>
    </row>
  </sheetData>
  <mergeCells count="43">
    <mergeCell ref="A1:I2"/>
    <mergeCell ref="J1:N1"/>
    <mergeCell ref="J2:N2"/>
    <mergeCell ref="A3:B7"/>
    <mergeCell ref="C3:F7"/>
    <mergeCell ref="G3:I3"/>
    <mergeCell ref="J3:N3"/>
    <mergeCell ref="G4:N4"/>
    <mergeCell ref="G5:H5"/>
    <mergeCell ref="M5:N5"/>
    <mergeCell ref="G6:H6"/>
    <mergeCell ref="M6:N7"/>
    <mergeCell ref="G7:H7"/>
    <mergeCell ref="I5:L5"/>
    <mergeCell ref="I6:L6"/>
    <mergeCell ref="I7:L7"/>
    <mergeCell ref="A69:B69"/>
    <mergeCell ref="A8:N8"/>
    <mergeCell ref="A9:A10"/>
    <mergeCell ref="B9:B10"/>
    <mergeCell ref="C9:F9"/>
    <mergeCell ref="G9:H9"/>
    <mergeCell ref="I9:J9"/>
    <mergeCell ref="M9:N9"/>
    <mergeCell ref="A66:B66"/>
    <mergeCell ref="A67:B67"/>
    <mergeCell ref="A68:B68"/>
    <mergeCell ref="K9:L9"/>
    <mergeCell ref="A70:B70"/>
    <mergeCell ref="A71:B71"/>
    <mergeCell ref="A72:B72"/>
    <mergeCell ref="C72:I72"/>
    <mergeCell ref="A73:B73"/>
    <mergeCell ref="C73:I73"/>
    <mergeCell ref="I82:M82"/>
    <mergeCell ref="A74:B74"/>
    <mergeCell ref="C74:I74"/>
    <mergeCell ref="A75:B75"/>
    <mergeCell ref="A76:B76"/>
    <mergeCell ref="E80:G80"/>
    <mergeCell ref="I80:M80"/>
    <mergeCell ref="E81:G81"/>
    <mergeCell ref="I81:M81"/>
  </mergeCells>
  <conditionalFormatting sqref="I12:I63">
    <cfRule type="cellIs" dxfId="42" priority="6" stopIfTrue="1" operator="equal">
      <formula>"Columna1"</formula>
    </cfRule>
  </conditionalFormatting>
  <conditionalFormatting sqref="K12:K63">
    <cfRule type="cellIs" dxfId="41" priority="1" stopIfTrue="1" operator="equal">
      <formula>"Columna1"</formula>
    </cfRule>
  </conditionalFormatting>
  <conditionalFormatting sqref="M13:M64">
    <cfRule type="cellIs" dxfId="40" priority="5" stopIfTrue="1" operator="equal">
      <formula>"Columna1"</formula>
    </cfRule>
  </conditionalFormatting>
  <printOptions horizontalCentered="1"/>
  <pageMargins left="0.55118110236220474" right="0.31496062992125984" top="0.51181102362204722" bottom="0.39370078740157483" header="0" footer="0"/>
  <pageSetup scale="40" orientation="portrait" horizontalDpi="4294967293"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55"/>
  <sheetViews>
    <sheetView view="pageBreakPreview" topLeftCell="A15" zoomScaleNormal="100" zoomScaleSheetLayoutView="100" workbookViewId="0">
      <selection activeCell="G27" sqref="G27"/>
    </sheetView>
  </sheetViews>
  <sheetFormatPr baseColWidth="10" defaultRowHeight="15" x14ac:dyDescent="0.25"/>
  <cols>
    <col min="1" max="1" width="5.85546875" bestFit="1" customWidth="1"/>
    <col min="2" max="2" width="40.7109375" customWidth="1"/>
    <col min="3" max="3" width="7.5703125" bestFit="1" customWidth="1"/>
    <col min="4" max="4" width="6.5703125" bestFit="1" customWidth="1"/>
    <col min="5" max="5" width="13.140625" bestFit="1" customWidth="1"/>
    <col min="6" max="6" width="16.42578125" bestFit="1" customWidth="1"/>
    <col min="7" max="7" width="13" bestFit="1" customWidth="1"/>
    <col min="8" max="8" width="13.5703125" bestFit="1" customWidth="1"/>
    <col min="9" max="9" width="23.7109375" bestFit="1" customWidth="1"/>
    <col min="10" max="10" width="13.85546875" bestFit="1" customWidth="1"/>
  </cols>
  <sheetData>
    <row r="1" spans="1:12" x14ac:dyDescent="0.25">
      <c r="A1" s="599" t="s">
        <v>645</v>
      </c>
      <c r="B1" s="599"/>
      <c r="C1" s="599"/>
      <c r="D1" s="599"/>
      <c r="E1" s="599"/>
      <c r="F1" s="599"/>
      <c r="G1" s="599"/>
      <c r="H1" s="599"/>
      <c r="I1" s="599"/>
    </row>
    <row r="2" spans="1:12" ht="24" customHeight="1" thickBot="1" x14ac:dyDescent="0.3">
      <c r="A2" s="600" t="s">
        <v>646</v>
      </c>
      <c r="B2" s="600"/>
      <c r="C2" s="600"/>
      <c r="D2" s="600"/>
      <c r="E2" s="600"/>
      <c r="F2" s="600"/>
      <c r="G2" s="600"/>
      <c r="H2" s="600"/>
      <c r="I2" s="600"/>
      <c r="L2" t="s">
        <v>762</v>
      </c>
    </row>
    <row r="3" spans="1:12" ht="24" customHeight="1" thickBot="1" x14ac:dyDescent="0.3">
      <c r="A3" s="601" t="s">
        <v>647</v>
      </c>
      <c r="B3" s="601" t="s">
        <v>498</v>
      </c>
      <c r="C3" s="601" t="s">
        <v>499</v>
      </c>
      <c r="D3" s="443" t="s">
        <v>760</v>
      </c>
      <c r="E3" s="443"/>
      <c r="F3" s="444"/>
      <c r="G3" s="443" t="s">
        <v>761</v>
      </c>
      <c r="H3" s="443"/>
      <c r="I3" s="444"/>
    </row>
    <row r="4" spans="1:12" ht="15.75" thickBot="1" x14ac:dyDescent="0.3">
      <c r="A4" s="602"/>
      <c r="B4" s="602"/>
      <c r="C4" s="602"/>
      <c r="D4" s="123" t="s">
        <v>506</v>
      </c>
      <c r="E4" s="123" t="s">
        <v>648</v>
      </c>
      <c r="F4" s="123" t="s">
        <v>649</v>
      </c>
      <c r="G4" s="123" t="s">
        <v>506</v>
      </c>
      <c r="H4" s="123" t="s">
        <v>648</v>
      </c>
      <c r="I4" s="123" t="s">
        <v>649</v>
      </c>
    </row>
    <row r="5" spans="1:12" ht="15.75" thickBot="1" x14ac:dyDescent="0.3">
      <c r="A5" s="149">
        <v>1</v>
      </c>
      <c r="B5" s="125" t="s">
        <v>53</v>
      </c>
      <c r="C5" s="126"/>
      <c r="D5" s="127"/>
      <c r="E5" s="127" t="s">
        <v>650</v>
      </c>
      <c r="F5" s="126" t="s">
        <v>650</v>
      </c>
      <c r="G5" s="127"/>
      <c r="H5" s="127" t="s">
        <v>650</v>
      </c>
      <c r="I5" s="126" t="s">
        <v>650</v>
      </c>
    </row>
    <row r="6" spans="1:12" ht="15.75" thickBot="1" x14ac:dyDescent="0.3">
      <c r="A6" s="128">
        <v>1.01</v>
      </c>
      <c r="B6" s="126" t="s">
        <v>651</v>
      </c>
      <c r="C6" s="127" t="s">
        <v>216</v>
      </c>
      <c r="D6" s="127">
        <v>46.44</v>
      </c>
      <c r="E6" s="129">
        <f>+'APU OBRA'!K38</f>
        <v>2800</v>
      </c>
      <c r="F6" s="129">
        <f>+ROUND(E6*D6,0)</f>
        <v>130032</v>
      </c>
      <c r="G6" s="155">
        <f>1.01*26</f>
        <v>26.26</v>
      </c>
      <c r="H6" s="129">
        <v>2800</v>
      </c>
      <c r="I6" s="129">
        <f>+ROUND(H6*G6,0)</f>
        <v>73528</v>
      </c>
      <c r="J6" s="151">
        <f>+G6-D6</f>
        <v>-20.179999999999996</v>
      </c>
      <c r="L6">
        <f>+G6/46</f>
        <v>0.57086956521739129</v>
      </c>
    </row>
    <row r="7" spans="1:12" ht="15.75" thickBot="1" x14ac:dyDescent="0.3">
      <c r="A7" s="128">
        <v>1.21</v>
      </c>
      <c r="B7" s="126" t="s">
        <v>652</v>
      </c>
      <c r="C7" s="127" t="s">
        <v>216</v>
      </c>
      <c r="D7" s="127">
        <v>54.75</v>
      </c>
      <c r="E7" s="129">
        <f>+'APU OBRA'!K74</f>
        <v>3600</v>
      </c>
      <c r="F7" s="129">
        <f>+ROUND(E7*D7,0)</f>
        <v>197100</v>
      </c>
      <c r="G7" s="155">
        <f>1.19*26</f>
        <v>30.939999999999998</v>
      </c>
      <c r="H7" s="129">
        <v>3600</v>
      </c>
      <c r="I7" s="129">
        <f>+ROUND(H7*G7,0)</f>
        <v>111384</v>
      </c>
      <c r="J7" s="151">
        <f t="shared" ref="J7:J46" si="0">+G7-D7</f>
        <v>-23.810000000000002</v>
      </c>
      <c r="L7">
        <f>+G7/46</f>
        <v>0.67260869565217385</v>
      </c>
    </row>
    <row r="8" spans="1:12" ht="15.75" thickBot="1" x14ac:dyDescent="0.3">
      <c r="A8" s="128">
        <v>1.23</v>
      </c>
      <c r="B8" s="130" t="s">
        <v>653</v>
      </c>
      <c r="C8" s="127" t="s">
        <v>216</v>
      </c>
      <c r="D8" s="127">
        <v>18.149999999999999</v>
      </c>
      <c r="E8" s="129">
        <f>+'APU OBRA'!K110</f>
        <v>19700</v>
      </c>
      <c r="F8" s="129">
        <f>+ROUND(E8*D8,0)</f>
        <v>357555</v>
      </c>
      <c r="G8" s="155">
        <v>3</v>
      </c>
      <c r="H8" s="129">
        <v>19700</v>
      </c>
      <c r="I8" s="129">
        <f>+ROUND(H8*G8,0)</f>
        <v>59100</v>
      </c>
      <c r="J8" s="151">
        <f t="shared" si="0"/>
        <v>-15.149999999999999</v>
      </c>
    </row>
    <row r="9" spans="1:12" ht="15.75" thickBot="1" x14ac:dyDescent="0.3">
      <c r="A9" s="128">
        <v>1.04</v>
      </c>
      <c r="B9" s="130" t="s">
        <v>654</v>
      </c>
      <c r="C9" s="127" t="s">
        <v>216</v>
      </c>
      <c r="D9" s="127">
        <v>18.149999999999999</v>
      </c>
      <c r="E9" s="129">
        <f>+'APU OBRA'!K146</f>
        <v>67400</v>
      </c>
      <c r="F9" s="129">
        <f>+ROUND(E9*D9,0)</f>
        <v>1223310</v>
      </c>
      <c r="G9" s="155">
        <v>2.5</v>
      </c>
      <c r="H9" s="129">
        <v>67400</v>
      </c>
      <c r="I9" s="129">
        <f>+ROUND(H9*G9,0)</f>
        <v>168500</v>
      </c>
      <c r="J9" s="151">
        <f t="shared" si="0"/>
        <v>-15.649999999999999</v>
      </c>
    </row>
    <row r="10" spans="1:12" ht="15.75" thickBot="1" x14ac:dyDescent="0.3">
      <c r="A10" s="131"/>
      <c r="B10" s="132" t="s">
        <v>655</v>
      </c>
      <c r="C10" s="127" t="s">
        <v>650</v>
      </c>
      <c r="D10" s="127" t="s">
        <v>650</v>
      </c>
      <c r="E10" s="133"/>
      <c r="F10" s="134">
        <f>+SUM(F6:F9)</f>
        <v>1907997</v>
      </c>
      <c r="G10" s="155" t="s">
        <v>650</v>
      </c>
      <c r="H10" s="133"/>
      <c r="I10" s="134">
        <f>+SUM(I6:I9)</f>
        <v>412512</v>
      </c>
      <c r="J10" s="151" t="e">
        <f t="shared" si="0"/>
        <v>#VALUE!</v>
      </c>
    </row>
    <row r="11" spans="1:12" ht="15.75" thickBot="1" x14ac:dyDescent="0.3">
      <c r="A11" s="124">
        <v>2</v>
      </c>
      <c r="B11" s="125" t="s">
        <v>656</v>
      </c>
      <c r="C11" s="127"/>
      <c r="D11" s="127"/>
      <c r="E11" s="133"/>
      <c r="F11" s="133"/>
      <c r="G11" s="155"/>
      <c r="H11" s="133"/>
      <c r="I11" s="133"/>
      <c r="J11" s="151">
        <f t="shared" si="0"/>
        <v>0</v>
      </c>
    </row>
    <row r="12" spans="1:12" ht="26.25" thickBot="1" x14ac:dyDescent="0.3">
      <c r="A12" s="128">
        <v>2.0099999999999998</v>
      </c>
      <c r="B12" s="130" t="s">
        <v>657</v>
      </c>
      <c r="C12" s="127" t="s">
        <v>172</v>
      </c>
      <c r="D12" s="127">
        <v>41.26</v>
      </c>
      <c r="E12" s="129">
        <f>+'APU OBRA'!K180</f>
        <v>27000</v>
      </c>
      <c r="F12" s="129">
        <f>+ROUND(E12*D12,0)</f>
        <v>1114020</v>
      </c>
      <c r="G12" s="155">
        <f>+ROUND((1*1*1)+(1*1*1)+(1.2*1.2*1.3)+(1*1*1)+(1.2*1.2*1.3)+(1*1*1)+(2.5*2.5*1.6),2)</f>
        <v>17.739999999999998</v>
      </c>
      <c r="H12" s="129">
        <v>27000</v>
      </c>
      <c r="I12" s="129">
        <f>+ROUND(H12*G12,0)</f>
        <v>478980</v>
      </c>
      <c r="J12" s="151">
        <f t="shared" si="0"/>
        <v>-23.52</v>
      </c>
    </row>
    <row r="13" spans="1:12" ht="15.75" thickBot="1" x14ac:dyDescent="0.3">
      <c r="A13" s="128">
        <v>2.02</v>
      </c>
      <c r="B13" s="130" t="s">
        <v>658</v>
      </c>
      <c r="C13" s="127" t="s">
        <v>172</v>
      </c>
      <c r="D13" s="127">
        <v>15</v>
      </c>
      <c r="E13" s="129">
        <f>+'APU OBRA'!K215</f>
        <v>29600</v>
      </c>
      <c r="F13" s="129">
        <f>+ROUND(E13*D13,0)</f>
        <v>444000</v>
      </c>
      <c r="G13" s="155">
        <v>6.7</v>
      </c>
      <c r="H13" s="129">
        <v>29600</v>
      </c>
      <c r="I13" s="129">
        <f>+ROUND(H13*G13,0)</f>
        <v>198320</v>
      </c>
      <c r="J13" s="151">
        <f t="shared" si="0"/>
        <v>-8.3000000000000007</v>
      </c>
    </row>
    <row r="14" spans="1:12" ht="15.75" thickBot="1" x14ac:dyDescent="0.3">
      <c r="A14" s="128">
        <v>2.0299999999999998</v>
      </c>
      <c r="B14" s="130" t="s">
        <v>659</v>
      </c>
      <c r="C14" s="127" t="s">
        <v>172</v>
      </c>
      <c r="D14" s="127">
        <v>62.56</v>
      </c>
      <c r="E14" s="129">
        <f>+'APU OBRA'!K251</f>
        <v>43000</v>
      </c>
      <c r="F14" s="129">
        <f>+ROUND(E14*D14,0)</f>
        <v>2690080</v>
      </c>
      <c r="G14" s="155">
        <v>18</v>
      </c>
      <c r="H14" s="129">
        <v>43000</v>
      </c>
      <c r="I14" s="129">
        <f>+ROUND(H14*G14,0)</f>
        <v>774000</v>
      </c>
      <c r="J14" s="151">
        <f t="shared" si="0"/>
        <v>-44.56</v>
      </c>
      <c r="L14">
        <f>+G14/46</f>
        <v>0.39130434782608697</v>
      </c>
    </row>
    <row r="15" spans="1:12" ht="15.75" thickBot="1" x14ac:dyDescent="0.3">
      <c r="A15" s="131"/>
      <c r="B15" s="132" t="s">
        <v>655</v>
      </c>
      <c r="C15" s="127" t="s">
        <v>650</v>
      </c>
      <c r="D15" s="127" t="s">
        <v>650</v>
      </c>
      <c r="E15" s="133"/>
      <c r="F15" s="134">
        <f>+SUM(F12:F14)</f>
        <v>4248100</v>
      </c>
      <c r="G15" s="155" t="s">
        <v>650</v>
      </c>
      <c r="H15" s="133"/>
      <c r="I15" s="134">
        <f>+SUM(I12:I14)</f>
        <v>1451300</v>
      </c>
      <c r="J15" s="151" t="e">
        <f t="shared" si="0"/>
        <v>#VALUE!</v>
      </c>
    </row>
    <row r="16" spans="1:12" ht="15.75" thickBot="1" x14ac:dyDescent="0.3">
      <c r="A16" s="124">
        <v>3</v>
      </c>
      <c r="B16" s="125" t="s">
        <v>660</v>
      </c>
      <c r="C16" s="127"/>
      <c r="D16" s="127"/>
      <c r="E16" s="133"/>
      <c r="F16" s="133"/>
      <c r="G16" s="155"/>
      <c r="H16" s="133"/>
      <c r="I16" s="133"/>
      <c r="J16" s="151">
        <f t="shared" si="0"/>
        <v>0</v>
      </c>
    </row>
    <row r="17" spans="1:12" ht="26.25" thickBot="1" x14ac:dyDescent="0.3">
      <c r="A17" s="128">
        <v>3.01</v>
      </c>
      <c r="B17" s="130" t="s">
        <v>661</v>
      </c>
      <c r="C17" s="127" t="s">
        <v>241</v>
      </c>
      <c r="D17" s="127">
        <v>31</v>
      </c>
      <c r="E17" s="129">
        <f>+'APU OBRA'!K287</f>
        <v>331400</v>
      </c>
      <c r="F17" s="129">
        <f>+ROUND(E17*D17,0)</f>
        <v>10273400</v>
      </c>
      <c r="G17" s="155">
        <v>9</v>
      </c>
      <c r="H17" s="129">
        <v>331400</v>
      </c>
      <c r="I17" s="129">
        <f>+ROUND(H17*G17,0)</f>
        <v>2982600</v>
      </c>
      <c r="J17" s="151">
        <f t="shared" si="0"/>
        <v>-22</v>
      </c>
    </row>
    <row r="18" spans="1:12" ht="26.25" thickBot="1" x14ac:dyDescent="0.3">
      <c r="A18" s="128">
        <v>3.02</v>
      </c>
      <c r="B18" s="130" t="s">
        <v>662</v>
      </c>
      <c r="C18" s="127" t="s">
        <v>241</v>
      </c>
      <c r="D18" s="127">
        <v>10</v>
      </c>
      <c r="E18" s="129">
        <f>+'APU OBRA'!K324</f>
        <v>84900</v>
      </c>
      <c r="F18" s="129">
        <f>+ROUND(E18*D18,0)</f>
        <v>849000</v>
      </c>
      <c r="G18" s="155">
        <v>10</v>
      </c>
      <c r="H18" s="129">
        <v>84900</v>
      </c>
      <c r="I18" s="129">
        <f>+ROUND(H18*G18,0)</f>
        <v>849000</v>
      </c>
      <c r="J18" s="151">
        <f t="shared" si="0"/>
        <v>0</v>
      </c>
    </row>
    <row r="19" spans="1:12" ht="15.75" thickBot="1" x14ac:dyDescent="0.3">
      <c r="A19" s="128">
        <v>3.03</v>
      </c>
      <c r="B19" s="130" t="s">
        <v>663</v>
      </c>
      <c r="C19" s="127" t="s">
        <v>172</v>
      </c>
      <c r="D19" s="127">
        <v>9.3000000000000007</v>
      </c>
      <c r="E19" s="129">
        <f>+'APU OBRA'!K360</f>
        <v>581900</v>
      </c>
      <c r="F19" s="129">
        <f>+ROUND(E19*D19,0)</f>
        <v>5411670</v>
      </c>
      <c r="G19" s="155">
        <f>0.2*26</f>
        <v>5.2</v>
      </c>
      <c r="H19" s="129">
        <v>581900</v>
      </c>
      <c r="I19" s="129">
        <f>+ROUND(H19*G19,0)</f>
        <v>3025880</v>
      </c>
      <c r="J19" s="151">
        <f t="shared" si="0"/>
        <v>-4.1000000000000005</v>
      </c>
      <c r="L19">
        <f>+G19/46</f>
        <v>0.11304347826086956</v>
      </c>
    </row>
    <row r="20" spans="1:12" ht="15.75" thickBot="1" x14ac:dyDescent="0.3">
      <c r="A20" s="131"/>
      <c r="B20" s="132" t="s">
        <v>655</v>
      </c>
      <c r="C20" s="127" t="s">
        <v>650</v>
      </c>
      <c r="D20" s="127" t="s">
        <v>650</v>
      </c>
      <c r="E20" s="133"/>
      <c r="F20" s="134">
        <f>+SUM(F17:F19)</f>
        <v>16534070</v>
      </c>
      <c r="G20" s="155" t="s">
        <v>650</v>
      </c>
      <c r="H20" s="133"/>
      <c r="I20" s="134">
        <f>+SUM(I17:I19)</f>
        <v>6857480</v>
      </c>
      <c r="J20" s="151" t="e">
        <f t="shared" si="0"/>
        <v>#VALUE!</v>
      </c>
    </row>
    <row r="21" spans="1:12" ht="15.75" thickBot="1" x14ac:dyDescent="0.3">
      <c r="A21" s="124">
        <v>4</v>
      </c>
      <c r="B21" s="125" t="s">
        <v>664</v>
      </c>
      <c r="C21" s="127"/>
      <c r="D21" s="127"/>
      <c r="E21" s="133"/>
      <c r="F21" s="133"/>
      <c r="G21" s="155"/>
      <c r="H21" s="133"/>
      <c r="I21" s="133"/>
      <c r="J21" s="151">
        <f t="shared" si="0"/>
        <v>0</v>
      </c>
    </row>
    <row r="22" spans="1:12" ht="26.25" thickBot="1" x14ac:dyDescent="0.3">
      <c r="A22" s="128">
        <v>4.01</v>
      </c>
      <c r="B22" s="130" t="s">
        <v>665</v>
      </c>
      <c r="C22" s="127" t="s">
        <v>241</v>
      </c>
      <c r="D22" s="127">
        <v>7</v>
      </c>
      <c r="E22" s="129">
        <f>+'APU OBRA'!K396</f>
        <v>819400</v>
      </c>
      <c r="F22" s="129">
        <f t="shared" ref="F22:F42" si="1">+ROUND(E22*D22,0)</f>
        <v>5735800</v>
      </c>
      <c r="G22" s="155">
        <v>3</v>
      </c>
      <c r="H22" s="129">
        <v>819400</v>
      </c>
      <c r="I22" s="129">
        <f t="shared" ref="I22:I42" si="2">+ROUND(H22*G22,0)</f>
        <v>2458200</v>
      </c>
      <c r="J22" s="151">
        <f t="shared" si="0"/>
        <v>-4</v>
      </c>
    </row>
    <row r="23" spans="1:12" ht="26.25" thickBot="1" x14ac:dyDescent="0.3">
      <c r="A23" s="128">
        <v>4.0199999999999996</v>
      </c>
      <c r="B23" s="130" t="s">
        <v>666</v>
      </c>
      <c r="C23" s="127" t="s">
        <v>241</v>
      </c>
      <c r="D23" s="127">
        <v>3</v>
      </c>
      <c r="E23" s="129">
        <f>+'APU OBRA'!K432</f>
        <v>432900</v>
      </c>
      <c r="F23" s="129">
        <f t="shared" si="1"/>
        <v>1298700</v>
      </c>
      <c r="G23" s="155">
        <v>2</v>
      </c>
      <c r="H23" s="129">
        <v>432900</v>
      </c>
      <c r="I23" s="129">
        <f t="shared" si="2"/>
        <v>865800</v>
      </c>
      <c r="J23" s="151">
        <f t="shared" si="0"/>
        <v>-1</v>
      </c>
    </row>
    <row r="24" spans="1:12" ht="26.25" thickBot="1" x14ac:dyDescent="0.3">
      <c r="A24" s="128">
        <v>4.03</v>
      </c>
      <c r="B24" s="130" t="s">
        <v>667</v>
      </c>
      <c r="C24" s="127" t="s">
        <v>241</v>
      </c>
      <c r="D24" s="127">
        <v>15</v>
      </c>
      <c r="E24" s="129">
        <f>+'APU OBRA'!K468</f>
        <v>618400</v>
      </c>
      <c r="F24" s="129">
        <f t="shared" si="1"/>
        <v>9276000</v>
      </c>
      <c r="G24" s="155">
        <v>14</v>
      </c>
      <c r="H24" s="129">
        <v>618400</v>
      </c>
      <c r="I24" s="129">
        <f t="shared" si="2"/>
        <v>8657600</v>
      </c>
      <c r="J24" s="151">
        <f t="shared" si="0"/>
        <v>-1</v>
      </c>
    </row>
    <row r="25" spans="1:12" ht="26.25" thickBot="1" x14ac:dyDescent="0.3">
      <c r="A25" s="128">
        <v>4.04</v>
      </c>
      <c r="B25" s="130" t="s">
        <v>668</v>
      </c>
      <c r="C25" s="127" t="s">
        <v>241</v>
      </c>
      <c r="D25" s="127">
        <v>17</v>
      </c>
      <c r="E25" s="129">
        <f>+'APU OBRA'!K504</f>
        <v>1584700</v>
      </c>
      <c r="F25" s="129">
        <f t="shared" si="1"/>
        <v>26939900</v>
      </c>
      <c r="G25" s="155">
        <v>4</v>
      </c>
      <c r="H25" s="129">
        <v>1584700</v>
      </c>
      <c r="I25" s="129">
        <f t="shared" si="2"/>
        <v>6338800</v>
      </c>
      <c r="J25" s="151">
        <f t="shared" si="0"/>
        <v>-13</v>
      </c>
    </row>
    <row r="26" spans="1:12" ht="26.25" thickBot="1" x14ac:dyDescent="0.3">
      <c r="A26" s="128">
        <v>4.05</v>
      </c>
      <c r="B26" s="130" t="s">
        <v>669</v>
      </c>
      <c r="C26" s="127" t="s">
        <v>241</v>
      </c>
      <c r="D26" s="127">
        <v>2</v>
      </c>
      <c r="E26" s="129">
        <f>+'APU OBRA'!K540</f>
        <v>2319100</v>
      </c>
      <c r="F26" s="129">
        <f t="shared" si="1"/>
        <v>4638200</v>
      </c>
      <c r="G26" s="155">
        <v>2</v>
      </c>
      <c r="H26" s="129">
        <v>2319100</v>
      </c>
      <c r="I26" s="129">
        <f t="shared" si="2"/>
        <v>4638200</v>
      </c>
      <c r="J26" s="151">
        <f t="shared" si="0"/>
        <v>0</v>
      </c>
    </row>
    <row r="27" spans="1:12" ht="26.25" thickBot="1" x14ac:dyDescent="0.3">
      <c r="A27" s="128">
        <v>4.0599999999999996</v>
      </c>
      <c r="B27" s="130" t="s">
        <v>670</v>
      </c>
      <c r="C27" s="127" t="s">
        <v>241</v>
      </c>
      <c r="D27" s="127">
        <v>1</v>
      </c>
      <c r="E27" s="129">
        <f>+'APU OBRA'!K576</f>
        <v>4545500</v>
      </c>
      <c r="F27" s="129">
        <f t="shared" si="1"/>
        <v>4545500</v>
      </c>
      <c r="G27" s="155"/>
      <c r="H27" s="129">
        <v>4545500</v>
      </c>
      <c r="I27" s="129">
        <f t="shared" si="2"/>
        <v>0</v>
      </c>
      <c r="J27" s="151">
        <f t="shared" si="0"/>
        <v>-1</v>
      </c>
    </row>
    <row r="28" spans="1:12" ht="26.25" thickBot="1" x14ac:dyDescent="0.3">
      <c r="A28" s="128">
        <v>4.07</v>
      </c>
      <c r="B28" s="130" t="s">
        <v>671</v>
      </c>
      <c r="C28" s="127" t="s">
        <v>241</v>
      </c>
      <c r="D28" s="127">
        <v>1</v>
      </c>
      <c r="E28" s="129">
        <f>+'APU OBRA'!K612</f>
        <v>5411300</v>
      </c>
      <c r="F28" s="129">
        <f t="shared" si="1"/>
        <v>5411300</v>
      </c>
      <c r="G28" s="155">
        <v>1</v>
      </c>
      <c r="H28" s="129">
        <v>5411300</v>
      </c>
      <c r="I28" s="129">
        <f t="shared" si="2"/>
        <v>5411300</v>
      </c>
      <c r="J28" s="151">
        <f t="shared" si="0"/>
        <v>0</v>
      </c>
    </row>
    <row r="29" spans="1:12" ht="15.75" thickBot="1" x14ac:dyDescent="0.3">
      <c r="A29" s="128">
        <v>4.08</v>
      </c>
      <c r="B29" s="130" t="s">
        <v>672</v>
      </c>
      <c r="C29" s="127" t="s">
        <v>241</v>
      </c>
      <c r="D29" s="127">
        <v>30</v>
      </c>
      <c r="E29" s="129">
        <f>+'APU OBRA'!K649</f>
        <v>44700</v>
      </c>
      <c r="F29" s="129">
        <f t="shared" si="1"/>
        <v>1341000</v>
      </c>
      <c r="G29" s="155">
        <f>+G24*2</f>
        <v>28</v>
      </c>
      <c r="H29" s="129">
        <v>44700</v>
      </c>
      <c r="I29" s="129">
        <f t="shared" si="2"/>
        <v>1251600</v>
      </c>
      <c r="J29" s="151">
        <f t="shared" si="0"/>
        <v>-2</v>
      </c>
    </row>
    <row r="30" spans="1:12" ht="15.75" thickBot="1" x14ac:dyDescent="0.3">
      <c r="A30" s="128">
        <v>4.09</v>
      </c>
      <c r="B30" s="130" t="s">
        <v>673</v>
      </c>
      <c r="C30" s="127" t="s">
        <v>241</v>
      </c>
      <c r="D30" s="127">
        <v>6</v>
      </c>
      <c r="E30" s="129">
        <f>+'APU OBRA'!K686</f>
        <v>26100</v>
      </c>
      <c r="F30" s="129">
        <f t="shared" si="1"/>
        <v>156600</v>
      </c>
      <c r="G30" s="155">
        <f>+G23*2</f>
        <v>4</v>
      </c>
      <c r="H30" s="129">
        <v>26100</v>
      </c>
      <c r="I30" s="129">
        <f t="shared" si="2"/>
        <v>104400</v>
      </c>
      <c r="J30" s="151">
        <f t="shared" si="0"/>
        <v>-2</v>
      </c>
    </row>
    <row r="31" spans="1:12" ht="15.75" thickBot="1" x14ac:dyDescent="0.3">
      <c r="A31" s="128">
        <v>4.0999999999999996</v>
      </c>
      <c r="B31" s="130" t="s">
        <v>674</v>
      </c>
      <c r="C31" s="127" t="s">
        <v>241</v>
      </c>
      <c r="D31" s="127">
        <v>14</v>
      </c>
      <c r="E31" s="129">
        <f>+'APU OBRA'!K723</f>
        <v>72600</v>
      </c>
      <c r="F31" s="129">
        <f t="shared" si="1"/>
        <v>1016400</v>
      </c>
      <c r="G31" s="155">
        <f>+G22*2</f>
        <v>6</v>
      </c>
      <c r="H31" s="129">
        <v>72600</v>
      </c>
      <c r="I31" s="129">
        <f t="shared" si="2"/>
        <v>435600</v>
      </c>
      <c r="J31" s="151">
        <f t="shared" si="0"/>
        <v>-8</v>
      </c>
    </row>
    <row r="32" spans="1:12" ht="15.75" thickBot="1" x14ac:dyDescent="0.3">
      <c r="A32" s="128">
        <v>4.1100000000000003</v>
      </c>
      <c r="B32" s="130" t="s">
        <v>675</v>
      </c>
      <c r="C32" s="127" t="s">
        <v>241</v>
      </c>
      <c r="D32" s="127">
        <v>34</v>
      </c>
      <c r="E32" s="129">
        <f>+'APU OBRA'!K760</f>
        <v>186500</v>
      </c>
      <c r="F32" s="129">
        <f t="shared" si="1"/>
        <v>6341000</v>
      </c>
      <c r="G32" s="155">
        <f>+G25*2</f>
        <v>8</v>
      </c>
      <c r="H32" s="129">
        <v>186500</v>
      </c>
      <c r="I32" s="129">
        <f t="shared" si="2"/>
        <v>1492000</v>
      </c>
      <c r="J32" s="151">
        <f t="shared" si="0"/>
        <v>-26</v>
      </c>
    </row>
    <row r="33" spans="1:10" ht="15.75" thickBot="1" x14ac:dyDescent="0.3">
      <c r="A33" s="128">
        <v>4.12</v>
      </c>
      <c r="B33" s="130" t="s">
        <v>676</v>
      </c>
      <c r="C33" s="127" t="s">
        <v>241</v>
      </c>
      <c r="D33" s="127">
        <v>4</v>
      </c>
      <c r="E33" s="129">
        <f>+'APU OBRA'!K797</f>
        <v>342700</v>
      </c>
      <c r="F33" s="129">
        <f t="shared" si="1"/>
        <v>1370800</v>
      </c>
      <c r="G33" s="155">
        <f>+G26*2</f>
        <v>4</v>
      </c>
      <c r="H33" s="129">
        <v>342700</v>
      </c>
      <c r="I33" s="129">
        <f t="shared" si="2"/>
        <v>1370800</v>
      </c>
      <c r="J33" s="151">
        <f t="shared" si="0"/>
        <v>0</v>
      </c>
    </row>
    <row r="34" spans="1:10" ht="15.75" thickBot="1" x14ac:dyDescent="0.3">
      <c r="A34" s="128">
        <v>4.13</v>
      </c>
      <c r="B34" s="130" t="s">
        <v>677</v>
      </c>
      <c r="C34" s="127" t="s">
        <v>241</v>
      </c>
      <c r="D34" s="127">
        <v>2</v>
      </c>
      <c r="E34" s="129">
        <f>+'APU OBRA'!K834</f>
        <v>612200</v>
      </c>
      <c r="F34" s="129">
        <f t="shared" si="1"/>
        <v>1224400</v>
      </c>
      <c r="G34" s="155">
        <f>+G27*2</f>
        <v>0</v>
      </c>
      <c r="H34" s="129">
        <v>612200</v>
      </c>
      <c r="I34" s="129">
        <f t="shared" si="2"/>
        <v>0</v>
      </c>
      <c r="J34" s="151">
        <f t="shared" si="0"/>
        <v>-2</v>
      </c>
    </row>
    <row r="35" spans="1:10" ht="15.75" thickBot="1" x14ac:dyDescent="0.3">
      <c r="A35" s="128">
        <v>4.1399999999999997</v>
      </c>
      <c r="B35" s="130" t="s">
        <v>678</v>
      </c>
      <c r="C35" s="127" t="s">
        <v>241</v>
      </c>
      <c r="D35" s="127">
        <v>2</v>
      </c>
      <c r="E35" s="129">
        <f>+'APU OBRA'!K871</f>
        <v>948800</v>
      </c>
      <c r="F35" s="129">
        <f t="shared" si="1"/>
        <v>1897600</v>
      </c>
      <c r="G35" s="155">
        <f>+G28*2</f>
        <v>2</v>
      </c>
      <c r="H35" s="129">
        <v>948800</v>
      </c>
      <c r="I35" s="129">
        <f t="shared" si="2"/>
        <v>1897600</v>
      </c>
      <c r="J35" s="151">
        <f t="shared" si="0"/>
        <v>0</v>
      </c>
    </row>
    <row r="36" spans="1:10" ht="26.25" thickBot="1" x14ac:dyDescent="0.3">
      <c r="A36" s="128">
        <v>4.1500000000000004</v>
      </c>
      <c r="B36" s="130" t="s">
        <v>679</v>
      </c>
      <c r="C36" s="127" t="s">
        <v>60</v>
      </c>
      <c r="D36" s="127">
        <v>14</v>
      </c>
      <c r="E36" s="129">
        <f>+'APU OBRA'!K908</f>
        <v>237100</v>
      </c>
      <c r="F36" s="129">
        <f t="shared" si="1"/>
        <v>3319400</v>
      </c>
      <c r="G36" s="155"/>
      <c r="H36" s="129">
        <v>237100</v>
      </c>
      <c r="I36" s="129">
        <f t="shared" si="2"/>
        <v>0</v>
      </c>
      <c r="J36" s="151">
        <f t="shared" si="0"/>
        <v>-14</v>
      </c>
    </row>
    <row r="37" spans="1:10" ht="26.25" thickBot="1" x14ac:dyDescent="0.3">
      <c r="A37" s="128">
        <v>4.16</v>
      </c>
      <c r="B37" s="130" t="s">
        <v>680</v>
      </c>
      <c r="C37" s="127" t="s">
        <v>60</v>
      </c>
      <c r="D37" s="127">
        <v>6</v>
      </c>
      <c r="E37" s="129">
        <f>+'APU OBRA'!K945</f>
        <v>71000</v>
      </c>
      <c r="F37" s="129">
        <f t="shared" si="1"/>
        <v>426000</v>
      </c>
      <c r="G37" s="155"/>
      <c r="H37" s="129">
        <v>71000</v>
      </c>
      <c r="I37" s="129">
        <f t="shared" si="2"/>
        <v>0</v>
      </c>
      <c r="J37" s="151">
        <f t="shared" si="0"/>
        <v>-6</v>
      </c>
    </row>
    <row r="38" spans="1:10" ht="26.25" thickBot="1" x14ac:dyDescent="0.3">
      <c r="A38" s="128">
        <v>4.17</v>
      </c>
      <c r="B38" s="130" t="s">
        <v>681</v>
      </c>
      <c r="C38" s="127" t="s">
        <v>60</v>
      </c>
      <c r="D38" s="127">
        <v>30</v>
      </c>
      <c r="E38" s="129">
        <f>+'APU OBRA'!K982</f>
        <v>146800</v>
      </c>
      <c r="F38" s="129">
        <f t="shared" si="1"/>
        <v>4404000</v>
      </c>
      <c r="G38" s="155"/>
      <c r="H38" s="129">
        <v>146800</v>
      </c>
      <c r="I38" s="129">
        <f t="shared" si="2"/>
        <v>0</v>
      </c>
      <c r="J38" s="151">
        <f t="shared" si="0"/>
        <v>-30</v>
      </c>
    </row>
    <row r="39" spans="1:10" ht="26.25" thickBot="1" x14ac:dyDescent="0.3">
      <c r="A39" s="128">
        <v>4.18</v>
      </c>
      <c r="B39" s="130" t="s">
        <v>682</v>
      </c>
      <c r="C39" s="127" t="s">
        <v>60</v>
      </c>
      <c r="D39" s="127">
        <v>34</v>
      </c>
      <c r="E39" s="129">
        <f>+'APU OBRA'!K1019</f>
        <v>113900</v>
      </c>
      <c r="F39" s="129">
        <f t="shared" si="1"/>
        <v>3872600</v>
      </c>
      <c r="G39" s="155"/>
      <c r="H39" s="129">
        <v>113900</v>
      </c>
      <c r="I39" s="129">
        <f t="shared" si="2"/>
        <v>0</v>
      </c>
      <c r="J39" s="151">
        <f t="shared" si="0"/>
        <v>-34</v>
      </c>
    </row>
    <row r="40" spans="1:10" ht="26.25" thickBot="1" x14ac:dyDescent="0.3">
      <c r="A40" s="128">
        <v>4.1900000000000004</v>
      </c>
      <c r="B40" s="130" t="s">
        <v>683</v>
      </c>
      <c r="C40" s="127" t="s">
        <v>60</v>
      </c>
      <c r="D40" s="127">
        <v>4</v>
      </c>
      <c r="E40" s="129">
        <f>+'APU OBRA'!K1056</f>
        <v>183300</v>
      </c>
      <c r="F40" s="129">
        <f t="shared" si="1"/>
        <v>733200</v>
      </c>
      <c r="G40" s="155"/>
      <c r="H40" s="129">
        <v>183300</v>
      </c>
      <c r="I40" s="129">
        <f t="shared" si="2"/>
        <v>0</v>
      </c>
      <c r="J40" s="151">
        <f t="shared" si="0"/>
        <v>-4</v>
      </c>
    </row>
    <row r="41" spans="1:10" ht="26.25" thickBot="1" x14ac:dyDescent="0.3">
      <c r="A41" s="128">
        <v>4.2</v>
      </c>
      <c r="B41" s="130" t="s">
        <v>684</v>
      </c>
      <c r="C41" s="127" t="s">
        <v>60</v>
      </c>
      <c r="D41" s="127">
        <v>2</v>
      </c>
      <c r="E41" s="129">
        <f>+'APU OBRA'!K1093</f>
        <v>278200</v>
      </c>
      <c r="F41" s="129">
        <f t="shared" si="1"/>
        <v>556400</v>
      </c>
      <c r="G41" s="155"/>
      <c r="H41" s="129">
        <v>278200</v>
      </c>
      <c r="I41" s="129">
        <f t="shared" si="2"/>
        <v>0</v>
      </c>
      <c r="J41" s="151">
        <f t="shared" si="0"/>
        <v>-2</v>
      </c>
    </row>
    <row r="42" spans="1:10" ht="26.25" thickBot="1" x14ac:dyDescent="0.3">
      <c r="A42" s="128">
        <v>4.21</v>
      </c>
      <c r="B42" s="130" t="s">
        <v>685</v>
      </c>
      <c r="C42" s="127" t="s">
        <v>60</v>
      </c>
      <c r="D42" s="127">
        <v>2</v>
      </c>
      <c r="E42" s="129">
        <f>+'APU OBRA'!K1130</f>
        <v>381800</v>
      </c>
      <c r="F42" s="129">
        <f t="shared" si="1"/>
        <v>763600</v>
      </c>
      <c r="G42" s="155"/>
      <c r="H42" s="129">
        <v>381800</v>
      </c>
      <c r="I42" s="129">
        <f t="shared" si="2"/>
        <v>0</v>
      </c>
      <c r="J42" s="151">
        <f t="shared" si="0"/>
        <v>-2</v>
      </c>
    </row>
    <row r="43" spans="1:10" ht="15.75" thickBot="1" x14ac:dyDescent="0.3">
      <c r="A43" s="131"/>
      <c r="B43" s="132" t="s">
        <v>655</v>
      </c>
      <c r="C43" s="127" t="s">
        <v>650</v>
      </c>
      <c r="D43" s="127" t="s">
        <v>650</v>
      </c>
      <c r="E43" s="133"/>
      <c r="F43" s="134">
        <f>+SUM(F22:F42)</f>
        <v>85268400</v>
      </c>
      <c r="G43" s="155" t="s">
        <v>650</v>
      </c>
      <c r="H43" s="133"/>
      <c r="I43" s="134">
        <f>+SUM(I22:I42)</f>
        <v>34921900</v>
      </c>
      <c r="J43" s="151" t="e">
        <f t="shared" si="0"/>
        <v>#VALUE!</v>
      </c>
    </row>
    <row r="44" spans="1:10" ht="15.75" thickBot="1" x14ac:dyDescent="0.3">
      <c r="A44" s="124">
        <v>5</v>
      </c>
      <c r="B44" s="125" t="s">
        <v>686</v>
      </c>
      <c r="C44" s="127"/>
      <c r="D44" s="127"/>
      <c r="E44" s="133"/>
      <c r="F44" s="133"/>
      <c r="G44" s="155"/>
      <c r="H44" s="133"/>
      <c r="I44" s="133"/>
      <c r="J44" s="151">
        <f t="shared" si="0"/>
        <v>0</v>
      </c>
    </row>
    <row r="45" spans="1:10" ht="15.75" thickBot="1" x14ac:dyDescent="0.3">
      <c r="A45" s="128">
        <v>5.01</v>
      </c>
      <c r="B45" s="126" t="s">
        <v>687</v>
      </c>
      <c r="C45" s="127" t="s">
        <v>241</v>
      </c>
      <c r="D45" s="127">
        <v>46</v>
      </c>
      <c r="E45" s="129">
        <f>+'APU OBRA'!K1165</f>
        <v>37200</v>
      </c>
      <c r="F45" s="129">
        <f>+ROUND(E45*D45,0)</f>
        <v>1711200</v>
      </c>
      <c r="G45" s="155">
        <v>26</v>
      </c>
      <c r="H45" s="129">
        <v>37200</v>
      </c>
      <c r="I45" s="129">
        <f>+ROUND(H45*G45,0)</f>
        <v>967200</v>
      </c>
      <c r="J45" s="151">
        <f t="shared" si="0"/>
        <v>-20</v>
      </c>
    </row>
    <row r="46" spans="1:10" ht="15.75" thickBot="1" x14ac:dyDescent="0.3">
      <c r="A46" s="128">
        <v>5.0199999999999996</v>
      </c>
      <c r="B46" s="126" t="s">
        <v>688</v>
      </c>
      <c r="C46" s="127" t="s">
        <v>689</v>
      </c>
      <c r="D46" s="127">
        <v>1</v>
      </c>
      <c r="E46" s="129">
        <f>+'APU OBRA'!K1200</f>
        <v>1499100</v>
      </c>
      <c r="F46" s="129">
        <f>+ROUND(E46*D46,0)</f>
        <v>1499100</v>
      </c>
      <c r="G46" s="156"/>
      <c r="H46" s="129">
        <v>1499100</v>
      </c>
      <c r="I46" s="129">
        <f>+ROUND(H46*G46,0)</f>
        <v>0</v>
      </c>
      <c r="J46" s="151">
        <f t="shared" si="0"/>
        <v>-1</v>
      </c>
    </row>
    <row r="47" spans="1:10" ht="15.75" thickBot="1" x14ac:dyDescent="0.3">
      <c r="A47" s="131"/>
      <c r="B47" s="132" t="s">
        <v>655</v>
      </c>
      <c r="C47" s="126"/>
      <c r="D47" s="127"/>
      <c r="E47" s="127" t="s">
        <v>650</v>
      </c>
      <c r="F47" s="134">
        <f>+SUM(F45:F46)</f>
        <v>3210300</v>
      </c>
      <c r="G47" s="127"/>
      <c r="H47" s="127" t="s">
        <v>650</v>
      </c>
      <c r="I47" s="134">
        <f>+SUM(I45:I46)</f>
        <v>967200</v>
      </c>
    </row>
    <row r="48" spans="1:10" ht="15.75" thickBot="1" x14ac:dyDescent="0.3">
      <c r="A48" s="131"/>
      <c r="B48" s="125" t="s">
        <v>521</v>
      </c>
      <c r="C48" s="126"/>
      <c r="D48" s="126"/>
      <c r="E48" s="127"/>
      <c r="F48" s="134">
        <f>+F10+F15+F20+F43+F47</f>
        <v>111168867</v>
      </c>
      <c r="G48" s="126"/>
      <c r="H48" s="127"/>
      <c r="I48" s="134">
        <f>+I10+I15+I20+I43+I47</f>
        <v>44610392</v>
      </c>
      <c r="J48" s="150">
        <f>SUM(I6:I47)</f>
        <v>89220784</v>
      </c>
    </row>
    <row r="49" spans="1:10" ht="15.75" thickBot="1" x14ac:dyDescent="0.3">
      <c r="A49" s="131"/>
      <c r="B49" s="125" t="s">
        <v>690</v>
      </c>
      <c r="C49" s="135">
        <v>0.28000000000000003</v>
      </c>
      <c r="D49" s="126"/>
      <c r="E49" s="127"/>
      <c r="F49" s="129">
        <f>+ROUND(F48*C49,2)</f>
        <v>31127282.760000002</v>
      </c>
      <c r="G49" s="126"/>
      <c r="H49" s="127"/>
      <c r="I49" s="129">
        <f>+ROUND(I48*C49,2)</f>
        <v>12490909.76</v>
      </c>
      <c r="J49" s="152">
        <f>+J48/2</f>
        <v>44610392</v>
      </c>
    </row>
    <row r="50" spans="1:10" ht="15.75" thickBot="1" x14ac:dyDescent="0.3">
      <c r="A50" s="131"/>
      <c r="B50" s="125" t="s">
        <v>691</v>
      </c>
      <c r="C50" s="135">
        <v>0.02</v>
      </c>
      <c r="D50" s="126"/>
      <c r="E50" s="127"/>
      <c r="F50" s="129">
        <f>+ROUND(F48*C50,2)</f>
        <v>2223377.34</v>
      </c>
      <c r="G50" s="126"/>
      <c r="H50" s="127"/>
      <c r="I50" s="129">
        <f>+ROUND(I48*C50,2)</f>
        <v>892207.84</v>
      </c>
    </row>
    <row r="51" spans="1:10" ht="15.75" thickBot="1" x14ac:dyDescent="0.3">
      <c r="A51" s="131"/>
      <c r="B51" s="125" t="s">
        <v>692</v>
      </c>
      <c r="C51" s="135">
        <v>0.05</v>
      </c>
      <c r="D51" s="126"/>
      <c r="E51" s="127"/>
      <c r="F51" s="129">
        <f>+ROUND(F48*C51,2)</f>
        <v>5558443.3499999996</v>
      </c>
      <c r="G51" s="126"/>
      <c r="H51" s="127"/>
      <c r="I51" s="129">
        <f>+ROUND(I48*C51,2)</f>
        <v>2230519.6</v>
      </c>
    </row>
    <row r="52" spans="1:10" ht="15.75" thickBot="1" x14ac:dyDescent="0.3">
      <c r="A52" s="131"/>
      <c r="B52" s="125" t="s">
        <v>693</v>
      </c>
      <c r="C52" s="126"/>
      <c r="D52" s="126"/>
      <c r="E52" s="127"/>
      <c r="F52" s="153">
        <v>150077970.44999999</v>
      </c>
      <c r="G52" s="126"/>
      <c r="H52" s="127"/>
      <c r="I52" s="153">
        <f>+ROUND(SUM(I48:I51),2)</f>
        <v>60224029.200000003</v>
      </c>
    </row>
    <row r="53" spans="1:10" x14ac:dyDescent="0.25">
      <c r="H53" s="138"/>
    </row>
    <row r="55" spans="1:10" x14ac:dyDescent="0.25">
      <c r="I55" s="154">
        <f>+I52/F52</f>
        <v>0.40128493888491285</v>
      </c>
    </row>
  </sheetData>
  <mergeCells count="7">
    <mergeCell ref="G3:I3"/>
    <mergeCell ref="A1:I1"/>
    <mergeCell ref="A2:I2"/>
    <mergeCell ref="A3:A4"/>
    <mergeCell ref="B3:B4"/>
    <mergeCell ref="C3:C4"/>
    <mergeCell ref="D3:F3"/>
  </mergeCells>
  <printOptions horizontalCentered="1"/>
  <pageMargins left="0.70866141732283472" right="0.70866141732283472" top="0.74803149606299213" bottom="0.74803149606299213" header="0.31496062992125984" footer="0.31496062992125984"/>
  <pageSetup scale="50" orientation="landscape" horizontalDpi="4294967294"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98"/>
  <sheetViews>
    <sheetView view="pageBreakPreview" topLeftCell="C65" zoomScale="85" zoomScaleNormal="90" zoomScaleSheetLayoutView="85" workbookViewId="0">
      <selection activeCell="F89" sqref="F89"/>
    </sheetView>
  </sheetViews>
  <sheetFormatPr baseColWidth="10" defaultColWidth="11.5703125" defaultRowHeight="12" x14ac:dyDescent="0.25"/>
  <cols>
    <col min="1" max="1" width="6.28515625" style="157" bestFit="1" customWidth="1"/>
    <col min="2" max="2" width="48.5703125" style="157" customWidth="1"/>
    <col min="3" max="3" width="7.140625" style="274" customWidth="1"/>
    <col min="4" max="4" width="7.5703125" style="276" customWidth="1"/>
    <col min="5" max="5" width="14" style="157" customWidth="1"/>
    <col min="6" max="6" width="19" style="157" customWidth="1"/>
    <col min="7" max="7" width="7.7109375" style="250" customWidth="1"/>
    <col min="8" max="8" width="17.85546875" style="157" customWidth="1"/>
    <col min="9" max="9" width="8.42578125" style="157" customWidth="1"/>
    <col min="10" max="10" width="18.28515625" style="157" customWidth="1"/>
    <col min="11" max="11" width="7.28515625" style="157" bestFit="1" customWidth="1"/>
    <col min="12" max="12" width="18.85546875" style="157" customWidth="1"/>
    <col min="13" max="13" width="8.140625" style="157" customWidth="1"/>
    <col min="14" max="14" width="18.7109375" style="157" customWidth="1"/>
    <col min="15" max="15" width="8.28515625" style="250" customWidth="1"/>
    <col min="16" max="16" width="18.7109375" style="157" customWidth="1"/>
    <col min="17" max="17" width="25.7109375" style="157" customWidth="1"/>
    <col min="18" max="16384" width="11.5703125" style="157"/>
  </cols>
  <sheetData>
    <row r="1" spans="1:22" ht="18" customHeight="1" thickBot="1" x14ac:dyDescent="0.3">
      <c r="A1" s="540" t="s">
        <v>875</v>
      </c>
      <c r="B1" s="593"/>
      <c r="C1" s="593"/>
      <c r="D1" s="593"/>
      <c r="E1" s="593"/>
      <c r="F1" s="593"/>
      <c r="G1" s="593"/>
      <c r="H1" s="593"/>
      <c r="I1" s="593"/>
      <c r="J1" s="593"/>
      <c r="K1" s="593"/>
      <c r="L1" s="590" t="s">
        <v>763</v>
      </c>
      <c r="M1" s="591"/>
      <c r="N1" s="591"/>
      <c r="O1" s="591"/>
      <c r="P1" s="592"/>
      <c r="S1" s="157" t="s">
        <v>763</v>
      </c>
      <c r="T1" s="157" t="s">
        <v>763</v>
      </c>
    </row>
    <row r="2" spans="1:22" ht="19.5" customHeight="1" thickBot="1" x14ac:dyDescent="0.3">
      <c r="A2" s="595"/>
      <c r="B2" s="501"/>
      <c r="C2" s="501"/>
      <c r="D2" s="501"/>
      <c r="E2" s="501"/>
      <c r="F2" s="501"/>
      <c r="G2" s="501"/>
      <c r="H2" s="501"/>
      <c r="I2" s="501"/>
      <c r="J2" s="501"/>
      <c r="K2" s="501"/>
      <c r="L2" s="590" t="s">
        <v>764</v>
      </c>
      <c r="M2" s="591"/>
      <c r="N2" s="591"/>
      <c r="O2" s="591"/>
      <c r="P2" s="592"/>
      <c r="S2" s="157" t="s">
        <v>764</v>
      </c>
      <c r="T2" s="157" t="s">
        <v>764</v>
      </c>
    </row>
    <row r="3" spans="1:22" ht="20.25" customHeight="1" thickBot="1" x14ac:dyDescent="0.3">
      <c r="A3" s="547"/>
      <c r="B3" s="548"/>
      <c r="C3" s="552" t="s">
        <v>765</v>
      </c>
      <c r="D3" s="553"/>
      <c r="E3" s="553"/>
      <c r="F3" s="554"/>
      <c r="G3" s="588" t="s">
        <v>803</v>
      </c>
      <c r="H3" s="588"/>
      <c r="I3" s="588"/>
      <c r="J3" s="588"/>
      <c r="K3" s="589"/>
      <c r="L3" s="590" t="s">
        <v>766</v>
      </c>
      <c r="M3" s="591"/>
      <c r="N3" s="591"/>
      <c r="O3" s="591"/>
      <c r="P3" s="592"/>
      <c r="S3" s="157" t="s">
        <v>766</v>
      </c>
      <c r="T3" s="157" t="s">
        <v>766</v>
      </c>
    </row>
    <row r="4" spans="1:22" ht="30" customHeight="1" thickBot="1" x14ac:dyDescent="0.3">
      <c r="A4" s="549"/>
      <c r="B4" s="550"/>
      <c r="C4" s="555"/>
      <c r="D4" s="556"/>
      <c r="E4" s="556"/>
      <c r="F4" s="557"/>
      <c r="G4" s="603" t="s">
        <v>804</v>
      </c>
      <c r="H4" s="603"/>
      <c r="I4" s="603"/>
      <c r="J4" s="603"/>
      <c r="K4" s="603"/>
      <c r="L4" s="603"/>
      <c r="M4" s="603"/>
      <c r="N4" s="603"/>
      <c r="O4" s="603"/>
      <c r="P4" s="604"/>
    </row>
    <row r="5" spans="1:22" ht="30.6" customHeight="1" thickBot="1" x14ac:dyDescent="0.3">
      <c r="A5" s="549"/>
      <c r="B5" s="550"/>
      <c r="C5" s="555"/>
      <c r="D5" s="556"/>
      <c r="E5" s="556"/>
      <c r="F5" s="556"/>
      <c r="G5" s="605" t="s">
        <v>767</v>
      </c>
      <c r="H5" s="606"/>
      <c r="I5" s="607"/>
      <c r="J5" s="568">
        <f>+F71</f>
        <v>150077970.44999999</v>
      </c>
      <c r="K5" s="569"/>
      <c r="L5" s="569"/>
      <c r="M5" s="569"/>
      <c r="N5" s="570"/>
      <c r="O5" s="571" t="s">
        <v>799</v>
      </c>
      <c r="P5" s="572"/>
      <c r="Q5" s="158">
        <f>J5/2</f>
        <v>75038985.224999994</v>
      </c>
      <c r="S5" s="157" t="s">
        <v>799</v>
      </c>
    </row>
    <row r="6" spans="1:22" ht="22.5" customHeight="1" thickBot="1" x14ac:dyDescent="0.3">
      <c r="A6" s="549"/>
      <c r="B6" s="550"/>
      <c r="C6" s="555"/>
      <c r="D6" s="556"/>
      <c r="E6" s="556"/>
      <c r="F6" s="557"/>
      <c r="G6" s="605" t="s">
        <v>768</v>
      </c>
      <c r="H6" s="606"/>
      <c r="I6" s="607"/>
      <c r="J6" s="573">
        <v>0</v>
      </c>
      <c r="K6" s="574"/>
      <c r="L6" s="574"/>
      <c r="M6" s="574"/>
      <c r="N6" s="575"/>
      <c r="O6" s="576">
        <f>P71/F71</f>
        <v>0.83977851460877084</v>
      </c>
      <c r="P6" s="577"/>
      <c r="Q6" s="157">
        <v>0.40128493888491285</v>
      </c>
      <c r="S6" s="157">
        <v>0.40128493888491285</v>
      </c>
    </row>
    <row r="7" spans="1:22" ht="22.5" customHeight="1" thickBot="1" x14ac:dyDescent="0.3">
      <c r="A7" s="542"/>
      <c r="B7" s="551"/>
      <c r="C7" s="558"/>
      <c r="D7" s="559"/>
      <c r="E7" s="559"/>
      <c r="F7" s="560"/>
      <c r="G7" s="608" t="s">
        <v>769</v>
      </c>
      <c r="H7" s="609"/>
      <c r="I7" s="530"/>
      <c r="J7" s="582">
        <f>+J5+J6</f>
        <v>150077970.44999999</v>
      </c>
      <c r="K7" s="583"/>
      <c r="L7" s="583"/>
      <c r="M7" s="583"/>
      <c r="N7" s="584"/>
      <c r="O7" s="578"/>
      <c r="P7" s="579"/>
      <c r="Q7" s="326">
        <f>+ROUND(Q6*100,2)</f>
        <v>40.130000000000003</v>
      </c>
    </row>
    <row r="8" spans="1:22" ht="12.75" thickBot="1" x14ac:dyDescent="0.3">
      <c r="A8" s="524"/>
      <c r="B8" s="525"/>
      <c r="C8" s="525"/>
      <c r="D8" s="525"/>
      <c r="E8" s="525"/>
      <c r="F8" s="525"/>
      <c r="G8" s="525"/>
      <c r="H8" s="525"/>
      <c r="I8" s="525"/>
      <c r="J8" s="525"/>
      <c r="K8" s="525"/>
      <c r="L8" s="525"/>
      <c r="M8" s="525"/>
      <c r="N8" s="525"/>
      <c r="O8" s="525"/>
      <c r="P8" s="526"/>
    </row>
    <row r="9" spans="1:22" ht="63.6" customHeight="1" x14ac:dyDescent="0.25">
      <c r="A9" s="527" t="s">
        <v>647</v>
      </c>
      <c r="B9" s="529" t="s">
        <v>498</v>
      </c>
      <c r="C9" s="531" t="s">
        <v>760</v>
      </c>
      <c r="D9" s="532"/>
      <c r="E9" s="532"/>
      <c r="F9" s="533"/>
      <c r="G9" s="536" t="s">
        <v>831</v>
      </c>
      <c r="H9" s="537"/>
      <c r="I9" s="534" t="s">
        <v>770</v>
      </c>
      <c r="J9" s="535"/>
      <c r="K9" s="536" t="s">
        <v>872</v>
      </c>
      <c r="L9" s="537"/>
      <c r="M9" s="534" t="s">
        <v>873</v>
      </c>
      <c r="N9" s="535"/>
      <c r="O9" s="536" t="s">
        <v>771</v>
      </c>
      <c r="P9" s="537"/>
      <c r="S9" s="157" t="s">
        <v>771</v>
      </c>
    </row>
    <row r="10" spans="1:22" ht="34.15" customHeight="1" thickBot="1" x14ac:dyDescent="0.3">
      <c r="A10" s="528"/>
      <c r="B10" s="530"/>
      <c r="C10" s="159" t="s">
        <v>241</v>
      </c>
      <c r="D10" s="242" t="s">
        <v>772</v>
      </c>
      <c r="E10" s="160" t="s">
        <v>773</v>
      </c>
      <c r="F10" s="161" t="s">
        <v>649</v>
      </c>
      <c r="G10" s="253" t="s">
        <v>772</v>
      </c>
      <c r="H10" s="161" t="s">
        <v>649</v>
      </c>
      <c r="I10" s="253" t="s">
        <v>772</v>
      </c>
      <c r="J10" s="161" t="s">
        <v>649</v>
      </c>
      <c r="K10" s="253" t="s">
        <v>772</v>
      </c>
      <c r="L10" s="161" t="s">
        <v>649</v>
      </c>
      <c r="M10" s="253" t="s">
        <v>772</v>
      </c>
      <c r="N10" s="161" t="s">
        <v>649</v>
      </c>
      <c r="O10" s="253" t="s">
        <v>772</v>
      </c>
      <c r="P10" s="161" t="s">
        <v>649</v>
      </c>
      <c r="S10" s="157" t="s">
        <v>772</v>
      </c>
      <c r="T10" s="157" t="s">
        <v>649</v>
      </c>
    </row>
    <row r="11" spans="1:22" ht="12.75" thickBot="1" x14ac:dyDescent="0.3">
      <c r="A11" s="313"/>
      <c r="B11" s="314"/>
      <c r="C11" s="314"/>
      <c r="D11" s="314"/>
      <c r="E11" s="314"/>
      <c r="F11" s="314"/>
      <c r="G11" s="314"/>
      <c r="H11" s="314"/>
      <c r="I11" s="314"/>
      <c r="J11" s="314"/>
      <c r="K11" s="314"/>
      <c r="L11" s="314"/>
      <c r="M11" s="314"/>
      <c r="N11" s="314"/>
      <c r="O11" s="314"/>
      <c r="P11" s="315"/>
    </row>
    <row r="12" spans="1:22" s="170" customFormat="1" ht="20.100000000000001" customHeight="1" x14ac:dyDescent="0.25">
      <c r="A12" s="162">
        <v>1</v>
      </c>
      <c r="B12" s="163" t="s">
        <v>53</v>
      </c>
      <c r="C12" s="164"/>
      <c r="D12" s="243"/>
      <c r="E12" s="165" t="s">
        <v>650</v>
      </c>
      <c r="F12" s="166"/>
      <c r="G12" s="265"/>
      <c r="H12" s="168"/>
      <c r="I12" s="265"/>
      <c r="J12" s="168"/>
      <c r="K12" s="265"/>
      <c r="L12" s="168"/>
      <c r="M12" s="265"/>
      <c r="N12" s="168"/>
      <c r="O12" s="254"/>
      <c r="P12" s="169"/>
    </row>
    <row r="13" spans="1:22" s="176" customFormat="1" ht="20.100000000000001" customHeight="1" x14ac:dyDescent="0.2">
      <c r="A13" s="171">
        <v>1.01</v>
      </c>
      <c r="B13" s="172" t="s">
        <v>651</v>
      </c>
      <c r="C13" s="173" t="s">
        <v>216</v>
      </c>
      <c r="D13" s="244">
        <v>46.44</v>
      </c>
      <c r="E13" s="174">
        <v>2800</v>
      </c>
      <c r="F13" s="175">
        <f>ROUND(D13*E13,0)</f>
        <v>130032</v>
      </c>
      <c r="G13" s="266">
        <f>+BALANCE!G6</f>
        <v>26.26</v>
      </c>
      <c r="H13" s="175">
        <f>ROUND(E13*G13,0)</f>
        <v>73528</v>
      </c>
      <c r="I13" s="266">
        <v>49.49</v>
      </c>
      <c r="J13" s="175">
        <f>ROUND(E13*I13,0)</f>
        <v>138572</v>
      </c>
      <c r="K13" s="266">
        <f>1.01*19</f>
        <v>19.190000000000001</v>
      </c>
      <c r="L13" s="175">
        <f>ROUND(E13*K13,0)</f>
        <v>53732</v>
      </c>
      <c r="M13" s="266">
        <v>48.48</v>
      </c>
      <c r="N13" s="175">
        <f>ROUND(M13*E13,0)</f>
        <v>135744</v>
      </c>
      <c r="O13" s="266">
        <f>+K13+G13</f>
        <v>45.45</v>
      </c>
      <c r="P13" s="175">
        <f>ROUND(E13*O13,0)</f>
        <v>127260</v>
      </c>
      <c r="Q13" s="329">
        <f t="shared" ref="Q13:Q44" si="0">+I13-O13</f>
        <v>4.0399999999999991</v>
      </c>
      <c r="S13" s="176">
        <v>26.26</v>
      </c>
      <c r="T13" s="176">
        <v>73528</v>
      </c>
      <c r="V13" s="329">
        <f t="shared" ref="V13:V60" si="1">+S13-G13</f>
        <v>0</v>
      </c>
    </row>
    <row r="14" spans="1:22" s="176" customFormat="1" ht="20.100000000000001" customHeight="1" x14ac:dyDescent="0.2">
      <c r="A14" s="171">
        <v>1.21</v>
      </c>
      <c r="B14" s="177" t="s">
        <v>652</v>
      </c>
      <c r="C14" s="173" t="s">
        <v>216</v>
      </c>
      <c r="D14" s="244">
        <v>54.75</v>
      </c>
      <c r="E14" s="174">
        <v>3600</v>
      </c>
      <c r="F14" s="175">
        <f>ROUND(D14*E14,0)</f>
        <v>197100</v>
      </c>
      <c r="G14" s="266">
        <f>+BALANCE!G7</f>
        <v>30.939999999999998</v>
      </c>
      <c r="H14" s="175">
        <f>ROUND(E14*G14,0)</f>
        <v>111384</v>
      </c>
      <c r="I14" s="266">
        <v>58.309999999999995</v>
      </c>
      <c r="J14" s="175">
        <f>ROUND(E14*I14,0)</f>
        <v>209916</v>
      </c>
      <c r="K14" s="266">
        <f>1.19*19</f>
        <v>22.61</v>
      </c>
      <c r="L14" s="175">
        <f>ROUND(E14*K14,0)</f>
        <v>81396</v>
      </c>
      <c r="M14" s="266">
        <v>58.309999999999995</v>
      </c>
      <c r="N14" s="175">
        <f t="shared" ref="N14:N15" si="2">ROUND(M14*E14,0)</f>
        <v>209916</v>
      </c>
      <c r="O14" s="266">
        <f>+K14+G14</f>
        <v>53.55</v>
      </c>
      <c r="P14" s="175">
        <f>ROUND(E14*O14,0)</f>
        <v>192780</v>
      </c>
      <c r="Q14" s="329">
        <f t="shared" si="0"/>
        <v>4.759999999999998</v>
      </c>
      <c r="S14" s="176">
        <v>30.939999999999998</v>
      </c>
      <c r="T14" s="176">
        <v>111384</v>
      </c>
      <c r="V14" s="329">
        <f t="shared" si="1"/>
        <v>0</v>
      </c>
    </row>
    <row r="15" spans="1:22" s="176" customFormat="1" ht="20.100000000000001" customHeight="1" x14ac:dyDescent="0.2">
      <c r="A15" s="171">
        <v>1.23</v>
      </c>
      <c r="B15" s="177" t="s">
        <v>653</v>
      </c>
      <c r="C15" s="173" t="s">
        <v>216</v>
      </c>
      <c r="D15" s="244">
        <v>18.149999999999999</v>
      </c>
      <c r="E15" s="174">
        <v>19700</v>
      </c>
      <c r="F15" s="175">
        <f>ROUND(D15*E15,0)</f>
        <v>357555</v>
      </c>
      <c r="G15" s="266">
        <f>+BALANCE!G8</f>
        <v>3</v>
      </c>
      <c r="H15" s="175">
        <f>ROUND(E15*G15,0)</f>
        <v>59100</v>
      </c>
      <c r="I15" s="266">
        <v>18.149999999999999</v>
      </c>
      <c r="J15" s="175">
        <f>ROUND(E15*I15,0)</f>
        <v>357555</v>
      </c>
      <c r="K15" s="266">
        <v>8.5</v>
      </c>
      <c r="L15" s="175">
        <f>ROUND(E15*K15,0)</f>
        <v>167450</v>
      </c>
      <c r="M15" s="266">
        <v>18.149999999999999</v>
      </c>
      <c r="N15" s="175">
        <f t="shared" si="2"/>
        <v>357555</v>
      </c>
      <c r="O15" s="266">
        <f>+K15+G15</f>
        <v>11.5</v>
      </c>
      <c r="P15" s="175">
        <f>ROUND(E15*O15,0)</f>
        <v>226550</v>
      </c>
      <c r="Q15" s="329">
        <f t="shared" si="0"/>
        <v>6.6499999999999986</v>
      </c>
      <c r="S15" s="176">
        <v>3</v>
      </c>
      <c r="T15" s="176">
        <v>59100</v>
      </c>
      <c r="V15" s="329">
        <f t="shared" si="1"/>
        <v>0</v>
      </c>
    </row>
    <row r="16" spans="1:22" s="176" customFormat="1" ht="20.100000000000001" customHeight="1" x14ac:dyDescent="0.2">
      <c r="A16" s="171">
        <v>1.04</v>
      </c>
      <c r="B16" s="177" t="s">
        <v>654</v>
      </c>
      <c r="C16" s="173" t="s">
        <v>216</v>
      </c>
      <c r="D16" s="244">
        <v>18.149999999999999</v>
      </c>
      <c r="E16" s="174">
        <v>67400</v>
      </c>
      <c r="F16" s="175">
        <f>ROUND(D16*E16,0)</f>
        <v>1223310</v>
      </c>
      <c r="G16" s="266">
        <f>+BALANCE!G9</f>
        <v>2.5</v>
      </c>
      <c r="H16" s="175">
        <f>ROUND(E16*G16,0)</f>
        <v>168500</v>
      </c>
      <c r="I16" s="266">
        <v>18.149999999999999</v>
      </c>
      <c r="J16" s="175">
        <f>ROUND(E16*I16,0)</f>
        <v>1223310</v>
      </c>
      <c r="K16" s="266">
        <v>7.8</v>
      </c>
      <c r="L16" s="175">
        <f>ROUND(E16*K16,0)</f>
        <v>525720</v>
      </c>
      <c r="M16" s="266">
        <v>18.149999999999999</v>
      </c>
      <c r="N16" s="175">
        <f>ROUND(M16*E16,0)</f>
        <v>1223310</v>
      </c>
      <c r="O16" s="266">
        <f>+K16+G16</f>
        <v>10.3</v>
      </c>
      <c r="P16" s="175">
        <f>ROUND(E16*O16,0)</f>
        <v>694220</v>
      </c>
      <c r="Q16" s="329">
        <f t="shared" si="0"/>
        <v>7.8499999999999979</v>
      </c>
      <c r="S16" s="176">
        <v>2.5</v>
      </c>
      <c r="T16" s="176">
        <v>168500</v>
      </c>
      <c r="V16" s="329">
        <f t="shared" si="1"/>
        <v>0</v>
      </c>
    </row>
    <row r="17" spans="1:22" s="181" customFormat="1" ht="20.100000000000001" customHeight="1" x14ac:dyDescent="0.25">
      <c r="A17" s="178"/>
      <c r="B17" s="179" t="s">
        <v>655</v>
      </c>
      <c r="C17" s="186" t="s">
        <v>650</v>
      </c>
      <c r="D17" s="188" t="s">
        <v>650</v>
      </c>
      <c r="E17" s="179"/>
      <c r="F17" s="180">
        <f>ROUND((SUM(F13:F16)),0)</f>
        <v>1907997</v>
      </c>
      <c r="G17" s="266" t="str">
        <f>+BALANCE!G10</f>
        <v xml:space="preserve"> </v>
      </c>
      <c r="H17" s="180">
        <f>SUM(H13:H16)</f>
        <v>412512</v>
      </c>
      <c r="I17" s="266"/>
      <c r="J17" s="180">
        <f>SUM(J13:J16)</f>
        <v>1929353</v>
      </c>
      <c r="K17" s="266"/>
      <c r="L17" s="180">
        <f>SUM(L13:L16)</f>
        <v>828298</v>
      </c>
      <c r="M17" s="266"/>
      <c r="N17" s="180">
        <f>SUM(N13:N16)</f>
        <v>1926525</v>
      </c>
      <c r="O17" s="266"/>
      <c r="P17" s="180">
        <f>SUM(P13:P16)</f>
        <v>1240810</v>
      </c>
      <c r="Q17" s="329">
        <f t="shared" si="0"/>
        <v>0</v>
      </c>
      <c r="S17" s="181" t="s">
        <v>650</v>
      </c>
      <c r="T17" s="181">
        <v>412512</v>
      </c>
      <c r="V17" s="329" t="e">
        <f t="shared" si="1"/>
        <v>#VALUE!</v>
      </c>
    </row>
    <row r="18" spans="1:22" s="181" customFormat="1" ht="20.100000000000001" customHeight="1" x14ac:dyDescent="0.25">
      <c r="A18" s="178">
        <v>2</v>
      </c>
      <c r="B18" s="179" t="s">
        <v>656</v>
      </c>
      <c r="C18" s="186"/>
      <c r="D18" s="188"/>
      <c r="E18" s="179"/>
      <c r="F18" s="182"/>
      <c r="G18" s="266"/>
      <c r="H18" s="182"/>
      <c r="I18" s="266"/>
      <c r="J18" s="182"/>
      <c r="K18" s="266"/>
      <c r="L18" s="182"/>
      <c r="M18" s="266"/>
      <c r="N18" s="182"/>
      <c r="O18" s="266"/>
      <c r="P18" s="182"/>
      <c r="Q18" s="329">
        <f t="shared" si="0"/>
        <v>0</v>
      </c>
      <c r="V18" s="329">
        <f t="shared" si="1"/>
        <v>0</v>
      </c>
    </row>
    <row r="19" spans="1:22" ht="24" customHeight="1" x14ac:dyDescent="0.25">
      <c r="A19" s="171">
        <v>2.0099999999999998</v>
      </c>
      <c r="B19" s="240" t="s">
        <v>657</v>
      </c>
      <c r="C19" s="241" t="s">
        <v>172</v>
      </c>
      <c r="D19" s="195">
        <v>41.26</v>
      </c>
      <c r="E19" s="240">
        <v>27000</v>
      </c>
      <c r="F19" s="175">
        <f t="shared" ref="F19:F20" si="3">ROUND(D19*E19,0)</f>
        <v>1114020</v>
      </c>
      <c r="G19" s="266">
        <f>+BALANCE!G12</f>
        <v>17.739999999999998</v>
      </c>
      <c r="H19" s="175">
        <f>ROUND(E19*G19,0)</f>
        <v>478980</v>
      </c>
      <c r="I19" s="266">
        <v>44.1</v>
      </c>
      <c r="J19" s="175">
        <f>ROUND(E19*I19,0)</f>
        <v>1190700</v>
      </c>
      <c r="K19" s="266">
        <v>13.5</v>
      </c>
      <c r="L19" s="175">
        <f>ROUND(E19*K19,0)</f>
        <v>364500</v>
      </c>
      <c r="M19" s="266">
        <v>44.1</v>
      </c>
      <c r="N19" s="175">
        <f>ROUND(M19*E19,0)</f>
        <v>1190700</v>
      </c>
      <c r="O19" s="266">
        <f>+K19+G19</f>
        <v>31.24</v>
      </c>
      <c r="P19" s="175">
        <f>ROUND(E19*O19,0)</f>
        <v>843480</v>
      </c>
      <c r="Q19" s="329">
        <f t="shared" si="0"/>
        <v>12.860000000000003</v>
      </c>
      <c r="S19" s="157">
        <v>17.739999999999998</v>
      </c>
      <c r="T19" s="157">
        <v>478980</v>
      </c>
      <c r="V19" s="329">
        <f t="shared" si="1"/>
        <v>0</v>
      </c>
    </row>
    <row r="20" spans="1:22" ht="20.100000000000001" customHeight="1" x14ac:dyDescent="0.25">
      <c r="A20" s="171">
        <v>2.02</v>
      </c>
      <c r="B20" s="240" t="s">
        <v>658</v>
      </c>
      <c r="C20" s="241" t="s">
        <v>172</v>
      </c>
      <c r="D20" s="195">
        <v>15</v>
      </c>
      <c r="E20" s="240">
        <v>29600</v>
      </c>
      <c r="F20" s="175">
        <f t="shared" si="3"/>
        <v>444000</v>
      </c>
      <c r="G20" s="266">
        <f>+BALANCE!G13</f>
        <v>6.7</v>
      </c>
      <c r="H20" s="175">
        <f>ROUND(E20*G20,0)</f>
        <v>198320</v>
      </c>
      <c r="I20" s="266">
        <v>16.8</v>
      </c>
      <c r="J20" s="175">
        <f>ROUND(E20*I20,0)</f>
        <v>497280</v>
      </c>
      <c r="K20" s="266">
        <v>4.3</v>
      </c>
      <c r="L20" s="175">
        <f>ROUND(E20*K20,0)</f>
        <v>127280</v>
      </c>
      <c r="M20" s="266">
        <v>16.8</v>
      </c>
      <c r="N20" s="175">
        <f t="shared" ref="N20:N21" si="4">ROUND(M20*E20,0)</f>
        <v>497280</v>
      </c>
      <c r="O20" s="266">
        <f>+K20+G20</f>
        <v>11</v>
      </c>
      <c r="P20" s="175">
        <f>ROUND(E20*O20,0)</f>
        <v>325600</v>
      </c>
      <c r="Q20" s="329">
        <f t="shared" si="0"/>
        <v>5.8000000000000007</v>
      </c>
      <c r="S20" s="157">
        <v>6.7</v>
      </c>
      <c r="T20" s="157">
        <v>198320</v>
      </c>
      <c r="V20" s="329">
        <f t="shared" si="1"/>
        <v>0</v>
      </c>
    </row>
    <row r="21" spans="1:22" ht="20.100000000000001" customHeight="1" x14ac:dyDescent="0.25">
      <c r="A21" s="171">
        <v>2.0299999999999998</v>
      </c>
      <c r="B21" s="183" t="s">
        <v>659</v>
      </c>
      <c r="C21" s="184" t="s">
        <v>172</v>
      </c>
      <c r="D21" s="245">
        <v>62.56</v>
      </c>
      <c r="E21" s="174">
        <v>43000</v>
      </c>
      <c r="F21" s="175">
        <f>ROUND(D21*E21,0)</f>
        <v>2690080</v>
      </c>
      <c r="G21" s="266">
        <f>+BALANCE!G14</f>
        <v>18</v>
      </c>
      <c r="H21" s="175">
        <f>ROUND(E21*G21,0)</f>
        <v>774000</v>
      </c>
      <c r="I21" s="266">
        <v>66.64</v>
      </c>
      <c r="J21" s="175">
        <f>ROUND(E21*I21,0)</f>
        <v>2865520</v>
      </c>
      <c r="K21" s="266">
        <v>18</v>
      </c>
      <c r="L21" s="175">
        <f>ROUND(E21*K21,0)</f>
        <v>774000</v>
      </c>
      <c r="M21" s="266">
        <v>66.64</v>
      </c>
      <c r="N21" s="175">
        <f t="shared" si="4"/>
        <v>2865520</v>
      </c>
      <c r="O21" s="266">
        <f>+K21+G21</f>
        <v>36</v>
      </c>
      <c r="P21" s="175">
        <f>ROUND(E21*O21,0)</f>
        <v>1548000</v>
      </c>
      <c r="Q21" s="329">
        <f t="shared" si="0"/>
        <v>30.64</v>
      </c>
      <c r="S21" s="157">
        <v>18</v>
      </c>
      <c r="T21" s="157">
        <v>774000</v>
      </c>
      <c r="V21" s="329">
        <f t="shared" si="1"/>
        <v>0</v>
      </c>
    </row>
    <row r="22" spans="1:22" s="181" customFormat="1" x14ac:dyDescent="0.25">
      <c r="A22" s="178"/>
      <c r="B22" s="179" t="s">
        <v>655</v>
      </c>
      <c r="C22" s="186" t="s">
        <v>650</v>
      </c>
      <c r="D22" s="188" t="s">
        <v>650</v>
      </c>
      <c r="E22" s="187"/>
      <c r="F22" s="180">
        <f>ROUND((SUM(F19:F21)),0)</f>
        <v>4248100</v>
      </c>
      <c r="G22" s="266" t="str">
        <f>+BALANCE!G15</f>
        <v xml:space="preserve"> </v>
      </c>
      <c r="H22" s="180">
        <f>SUM(H19:H21)</f>
        <v>1451300</v>
      </c>
      <c r="I22" s="266"/>
      <c r="J22" s="180">
        <f>SUM(J19:J21)</f>
        <v>4553500</v>
      </c>
      <c r="K22" s="266"/>
      <c r="L22" s="180">
        <f>SUM(L19:L21)</f>
        <v>1265780</v>
      </c>
      <c r="M22" s="266"/>
      <c r="N22" s="180">
        <f>SUM(N19:N21)</f>
        <v>4553500</v>
      </c>
      <c r="O22" s="266"/>
      <c r="P22" s="180">
        <f>SUM(P19:P21)</f>
        <v>2717080</v>
      </c>
      <c r="Q22" s="329">
        <f t="shared" si="0"/>
        <v>0</v>
      </c>
      <c r="S22" s="181" t="s">
        <v>650</v>
      </c>
      <c r="T22" s="181">
        <v>1451300</v>
      </c>
      <c r="V22" s="329" t="e">
        <f t="shared" si="1"/>
        <v>#VALUE!</v>
      </c>
    </row>
    <row r="23" spans="1:22" s="181" customFormat="1" ht="19.5" customHeight="1" x14ac:dyDescent="0.25">
      <c r="A23" s="178">
        <v>3</v>
      </c>
      <c r="B23" s="179" t="s">
        <v>660</v>
      </c>
      <c r="C23" s="186"/>
      <c r="D23" s="188"/>
      <c r="E23" s="187"/>
      <c r="F23" s="189"/>
      <c r="G23" s="266"/>
      <c r="H23" s="189"/>
      <c r="I23" s="266"/>
      <c r="J23" s="189"/>
      <c r="K23" s="266"/>
      <c r="L23" s="189"/>
      <c r="M23" s="266"/>
      <c r="N23" s="189"/>
      <c r="O23" s="266"/>
      <c r="P23" s="189"/>
      <c r="Q23" s="329">
        <f t="shared" si="0"/>
        <v>0</v>
      </c>
      <c r="V23" s="329">
        <f t="shared" si="1"/>
        <v>0</v>
      </c>
    </row>
    <row r="24" spans="1:22" ht="17.25" customHeight="1" x14ac:dyDescent="0.2">
      <c r="A24" s="171">
        <v>3.01</v>
      </c>
      <c r="B24" s="177" t="s">
        <v>661</v>
      </c>
      <c r="C24" s="173" t="s">
        <v>241</v>
      </c>
      <c r="D24" s="244">
        <v>31</v>
      </c>
      <c r="E24" s="174">
        <v>331400</v>
      </c>
      <c r="F24" s="175">
        <f>ROUND(D24*E24,0)</f>
        <v>10273400</v>
      </c>
      <c r="G24" s="266">
        <f>+BALANCE!G17</f>
        <v>9</v>
      </c>
      <c r="H24" s="175">
        <f>ROUND(E24*G24,0)</f>
        <v>2982600</v>
      </c>
      <c r="I24" s="266">
        <v>17</v>
      </c>
      <c r="J24" s="175">
        <f>ROUND(E24*I24,0)</f>
        <v>5633800</v>
      </c>
      <c r="K24" s="266">
        <v>4</v>
      </c>
      <c r="L24" s="175">
        <f>ROUND(E24*K24,0)</f>
        <v>1325600</v>
      </c>
      <c r="M24" s="266">
        <v>17</v>
      </c>
      <c r="N24" s="175">
        <f t="shared" ref="N24:N26" si="5">ROUND(M24*E24,0)</f>
        <v>5633800</v>
      </c>
      <c r="O24" s="266">
        <f>+K24+G24</f>
        <v>13</v>
      </c>
      <c r="P24" s="175">
        <f>ROUND(E24*O24,0)</f>
        <v>4308200</v>
      </c>
      <c r="Q24" s="329">
        <f t="shared" si="0"/>
        <v>4</v>
      </c>
      <c r="S24" s="157">
        <v>9</v>
      </c>
      <c r="T24" s="157">
        <v>2982600</v>
      </c>
      <c r="V24" s="329">
        <f t="shared" si="1"/>
        <v>0</v>
      </c>
    </row>
    <row r="25" spans="1:22" ht="27.75" customHeight="1" x14ac:dyDescent="0.2">
      <c r="A25" s="171">
        <v>3.02</v>
      </c>
      <c r="B25" s="177" t="s">
        <v>662</v>
      </c>
      <c r="C25" s="173" t="s">
        <v>241</v>
      </c>
      <c r="D25" s="244">
        <v>10</v>
      </c>
      <c r="E25" s="174">
        <v>84900</v>
      </c>
      <c r="F25" s="175">
        <f>ROUND(D25*E25,0)</f>
        <v>849000</v>
      </c>
      <c r="G25" s="266">
        <f>+BALANCE!G18</f>
        <v>10</v>
      </c>
      <c r="H25" s="175">
        <f>ROUND(E25*G25,0)</f>
        <v>849000</v>
      </c>
      <c r="I25" s="266">
        <v>32</v>
      </c>
      <c r="J25" s="175">
        <f>ROUND(E25*I25,0)</f>
        <v>2716800</v>
      </c>
      <c r="K25" s="266">
        <v>15</v>
      </c>
      <c r="L25" s="175">
        <f>ROUND(E25*K25,0)</f>
        <v>1273500</v>
      </c>
      <c r="M25" s="266">
        <v>31</v>
      </c>
      <c r="N25" s="175">
        <f t="shared" si="5"/>
        <v>2631900</v>
      </c>
      <c r="O25" s="266">
        <f>+K25+G25</f>
        <v>25</v>
      </c>
      <c r="P25" s="175">
        <f>ROUND(E25*O25,0)</f>
        <v>2122500</v>
      </c>
      <c r="Q25" s="329">
        <f t="shared" si="0"/>
        <v>7</v>
      </c>
      <c r="S25" s="157">
        <v>10</v>
      </c>
      <c r="T25" s="157">
        <v>849000</v>
      </c>
      <c r="V25" s="329">
        <f t="shared" si="1"/>
        <v>0</v>
      </c>
    </row>
    <row r="26" spans="1:22" ht="16.5" customHeight="1" x14ac:dyDescent="0.25">
      <c r="A26" s="171">
        <v>3.03</v>
      </c>
      <c r="B26" s="177" t="s">
        <v>663</v>
      </c>
      <c r="C26" s="185" t="s">
        <v>172</v>
      </c>
      <c r="D26" s="245">
        <v>9.3000000000000007</v>
      </c>
      <c r="E26" s="174">
        <v>581900</v>
      </c>
      <c r="F26" s="175">
        <f>ROUND(D26*E26,0)</f>
        <v>5411670</v>
      </c>
      <c r="G26" s="266">
        <f>+BALANCE!G19</f>
        <v>5.2</v>
      </c>
      <c r="H26" s="175">
        <f>ROUND(E26*G26,0)</f>
        <v>3025880</v>
      </c>
      <c r="I26" s="266">
        <v>13.3</v>
      </c>
      <c r="J26" s="175">
        <f>ROUND(E26*I26,0)</f>
        <v>7739270</v>
      </c>
      <c r="K26" s="266">
        <f>0.2*19</f>
        <v>3.8000000000000003</v>
      </c>
      <c r="L26" s="175">
        <f>ROUND(E26*K26,0)</f>
        <v>2211220</v>
      </c>
      <c r="M26" s="266">
        <v>15.1</v>
      </c>
      <c r="N26" s="175">
        <f t="shared" si="5"/>
        <v>8786690</v>
      </c>
      <c r="O26" s="266">
        <f>+K26+G26</f>
        <v>9</v>
      </c>
      <c r="P26" s="175">
        <f>ROUND(E26*O26,0)</f>
        <v>5237100</v>
      </c>
      <c r="Q26" s="329">
        <f t="shared" si="0"/>
        <v>4.3000000000000007</v>
      </c>
      <c r="S26" s="157">
        <v>5.2</v>
      </c>
      <c r="T26" s="157">
        <v>3025880</v>
      </c>
      <c r="V26" s="329">
        <f t="shared" si="1"/>
        <v>0</v>
      </c>
    </row>
    <row r="27" spans="1:22" s="181" customFormat="1" x14ac:dyDescent="0.25">
      <c r="A27" s="178"/>
      <c r="B27" s="186" t="s">
        <v>655</v>
      </c>
      <c r="C27" s="186" t="s">
        <v>650</v>
      </c>
      <c r="D27" s="188" t="s">
        <v>650</v>
      </c>
      <c r="E27" s="186"/>
      <c r="F27" s="180">
        <f>SUM(F24:F26)</f>
        <v>16534070</v>
      </c>
      <c r="G27" s="266" t="str">
        <f>+BALANCE!G20</f>
        <v xml:space="preserve"> </v>
      </c>
      <c r="H27" s="180">
        <f>SUM(H24:H26)</f>
        <v>6857480</v>
      </c>
      <c r="I27" s="266"/>
      <c r="J27" s="180">
        <f>SUM(J24:J26)</f>
        <v>16089870</v>
      </c>
      <c r="K27" s="266"/>
      <c r="L27" s="180">
        <f>SUM(L24:L26)</f>
        <v>4810320</v>
      </c>
      <c r="M27" s="266"/>
      <c r="N27" s="180">
        <f>SUM(N24:N26)</f>
        <v>17052390</v>
      </c>
      <c r="O27" s="266"/>
      <c r="P27" s="180">
        <f>SUM(P24:P26)</f>
        <v>11667800</v>
      </c>
      <c r="Q27" s="329">
        <f t="shared" si="0"/>
        <v>0</v>
      </c>
      <c r="S27" s="181" t="s">
        <v>650</v>
      </c>
      <c r="T27" s="181">
        <v>6857480</v>
      </c>
      <c r="V27" s="329" t="e">
        <f t="shared" si="1"/>
        <v>#VALUE!</v>
      </c>
    </row>
    <row r="28" spans="1:22" s="181" customFormat="1" ht="26.25" customHeight="1" x14ac:dyDescent="0.25">
      <c r="A28" s="178">
        <v>4</v>
      </c>
      <c r="B28" s="179" t="s">
        <v>664</v>
      </c>
      <c r="C28" s="186"/>
      <c r="D28" s="188"/>
      <c r="E28" s="187"/>
      <c r="F28" s="189"/>
      <c r="G28" s="266"/>
      <c r="H28" s="189"/>
      <c r="I28" s="266"/>
      <c r="J28" s="189"/>
      <c r="K28" s="266"/>
      <c r="L28" s="189"/>
      <c r="M28" s="266"/>
      <c r="N28" s="189"/>
      <c r="O28" s="266"/>
      <c r="P28" s="189"/>
      <c r="Q28" s="329">
        <f t="shared" si="0"/>
        <v>0</v>
      </c>
      <c r="V28" s="329">
        <f t="shared" si="1"/>
        <v>0</v>
      </c>
    </row>
    <row r="29" spans="1:22" s="181" customFormat="1" ht="20.100000000000001" customHeight="1" x14ac:dyDescent="0.25">
      <c r="A29" s="171">
        <v>4.01</v>
      </c>
      <c r="B29" s="177" t="s">
        <v>665</v>
      </c>
      <c r="C29" s="184" t="s">
        <v>241</v>
      </c>
      <c r="D29" s="245">
        <v>7</v>
      </c>
      <c r="E29" s="174">
        <v>819400</v>
      </c>
      <c r="F29" s="175">
        <f t="shared" ref="F29:F49" si="6">ROUND(D29*E29,0)</f>
        <v>5735800</v>
      </c>
      <c r="G29" s="266">
        <f>+BALANCE!G22</f>
        <v>3</v>
      </c>
      <c r="H29" s="175">
        <f t="shared" ref="H29:H49" si="7">ROUND(E29*G29,0)</f>
        <v>2458200</v>
      </c>
      <c r="I29" s="266">
        <v>6</v>
      </c>
      <c r="J29" s="175">
        <f t="shared" ref="J29:J49" si="8">ROUND(E29*I29,0)</f>
        <v>4916400</v>
      </c>
      <c r="K29" s="266">
        <v>3</v>
      </c>
      <c r="L29" s="175">
        <f t="shared" ref="L29:L49" si="9">ROUND(E29*K29,0)</f>
        <v>2458200</v>
      </c>
      <c r="M29" s="266">
        <v>6</v>
      </c>
      <c r="N29" s="175">
        <f t="shared" ref="N29:N49" si="10">ROUND(M29*E29,0)</f>
        <v>4916400</v>
      </c>
      <c r="O29" s="266">
        <f t="shared" ref="O29:O49" si="11">+K29+G29</f>
        <v>6</v>
      </c>
      <c r="P29" s="175">
        <f t="shared" ref="P29:P49" si="12">ROUND(E29*O29,0)</f>
        <v>4916400</v>
      </c>
      <c r="Q29" s="329">
        <f t="shared" si="0"/>
        <v>0</v>
      </c>
      <c r="S29" s="181">
        <v>3</v>
      </c>
      <c r="T29" s="181">
        <v>2458200</v>
      </c>
      <c r="V29" s="329">
        <f t="shared" si="1"/>
        <v>0</v>
      </c>
    </row>
    <row r="30" spans="1:22" s="181" customFormat="1" ht="20.100000000000001" customHeight="1" x14ac:dyDescent="0.25">
      <c r="A30" s="171">
        <v>4.0199999999999996</v>
      </c>
      <c r="B30" s="177" t="s">
        <v>666</v>
      </c>
      <c r="C30" s="184" t="s">
        <v>241</v>
      </c>
      <c r="D30" s="245">
        <v>3</v>
      </c>
      <c r="E30" s="174">
        <v>432900</v>
      </c>
      <c r="F30" s="175">
        <f t="shared" si="6"/>
        <v>1298700</v>
      </c>
      <c r="G30" s="266">
        <f>+BALANCE!G23</f>
        <v>2</v>
      </c>
      <c r="H30" s="175">
        <f t="shared" si="7"/>
        <v>865800</v>
      </c>
      <c r="I30" s="266">
        <v>3</v>
      </c>
      <c r="J30" s="175">
        <f t="shared" si="8"/>
        <v>1298700</v>
      </c>
      <c r="K30" s="266">
        <v>1</v>
      </c>
      <c r="L30" s="175">
        <f t="shared" si="9"/>
        <v>432900</v>
      </c>
      <c r="M30" s="266">
        <v>3</v>
      </c>
      <c r="N30" s="175">
        <f t="shared" si="10"/>
        <v>1298700</v>
      </c>
      <c r="O30" s="266">
        <f t="shared" si="11"/>
        <v>3</v>
      </c>
      <c r="P30" s="175">
        <f t="shared" si="12"/>
        <v>1298700</v>
      </c>
      <c r="Q30" s="329">
        <f t="shared" si="0"/>
        <v>0</v>
      </c>
      <c r="S30" s="181">
        <v>2</v>
      </c>
      <c r="T30" s="181">
        <v>865800</v>
      </c>
      <c r="V30" s="329">
        <f t="shared" si="1"/>
        <v>0</v>
      </c>
    </row>
    <row r="31" spans="1:22" s="181" customFormat="1" ht="20.100000000000001" customHeight="1" x14ac:dyDescent="0.25">
      <c r="A31" s="171">
        <v>4.03</v>
      </c>
      <c r="B31" s="177" t="s">
        <v>667</v>
      </c>
      <c r="C31" s="184" t="s">
        <v>241</v>
      </c>
      <c r="D31" s="245">
        <v>15</v>
      </c>
      <c r="E31" s="174">
        <v>618400</v>
      </c>
      <c r="F31" s="175">
        <f t="shared" si="6"/>
        <v>9276000</v>
      </c>
      <c r="G31" s="266">
        <f>+BALANCE!G24</f>
        <v>14</v>
      </c>
      <c r="H31" s="175">
        <f t="shared" si="7"/>
        <v>8657600</v>
      </c>
      <c r="I31" s="266">
        <v>16</v>
      </c>
      <c r="J31" s="175">
        <f t="shared" si="8"/>
        <v>9894400</v>
      </c>
      <c r="K31" s="266">
        <v>2</v>
      </c>
      <c r="L31" s="175">
        <f t="shared" si="9"/>
        <v>1236800</v>
      </c>
      <c r="M31" s="266">
        <v>16</v>
      </c>
      <c r="N31" s="175">
        <f t="shared" si="10"/>
        <v>9894400</v>
      </c>
      <c r="O31" s="266">
        <f t="shared" si="11"/>
        <v>16</v>
      </c>
      <c r="P31" s="175">
        <f t="shared" si="12"/>
        <v>9894400</v>
      </c>
      <c r="Q31" s="329">
        <f t="shared" si="0"/>
        <v>0</v>
      </c>
      <c r="S31" s="181">
        <v>14</v>
      </c>
      <c r="T31" s="181">
        <v>8657600</v>
      </c>
      <c r="V31" s="329">
        <f t="shared" si="1"/>
        <v>0</v>
      </c>
    </row>
    <row r="32" spans="1:22" s="181" customFormat="1" ht="20.100000000000001" customHeight="1" x14ac:dyDescent="0.25">
      <c r="A32" s="171">
        <v>4.04</v>
      </c>
      <c r="B32" s="177" t="s">
        <v>668</v>
      </c>
      <c r="C32" s="184" t="s">
        <v>241</v>
      </c>
      <c r="D32" s="245">
        <v>17</v>
      </c>
      <c r="E32" s="174">
        <v>1584700</v>
      </c>
      <c r="F32" s="175">
        <f t="shared" si="6"/>
        <v>26939900</v>
      </c>
      <c r="G32" s="266">
        <f>+BALANCE!G25</f>
        <v>4</v>
      </c>
      <c r="H32" s="175">
        <f t="shared" si="7"/>
        <v>6338800</v>
      </c>
      <c r="I32" s="266">
        <v>17</v>
      </c>
      <c r="J32" s="175">
        <f t="shared" si="8"/>
        <v>26939900</v>
      </c>
      <c r="K32" s="266">
        <v>9</v>
      </c>
      <c r="L32" s="175">
        <f t="shared" si="9"/>
        <v>14262300</v>
      </c>
      <c r="M32" s="266">
        <v>16</v>
      </c>
      <c r="N32" s="175">
        <f t="shared" si="10"/>
        <v>25355200</v>
      </c>
      <c r="O32" s="266">
        <f t="shared" si="11"/>
        <v>13</v>
      </c>
      <c r="P32" s="175">
        <f t="shared" si="12"/>
        <v>20601100</v>
      </c>
      <c r="Q32" s="329">
        <f t="shared" si="0"/>
        <v>4</v>
      </c>
      <c r="S32" s="181">
        <v>4</v>
      </c>
      <c r="T32" s="181">
        <v>6338800</v>
      </c>
      <c r="V32" s="329">
        <f t="shared" si="1"/>
        <v>0</v>
      </c>
    </row>
    <row r="33" spans="1:22" s="181" customFormat="1" ht="20.100000000000001" customHeight="1" x14ac:dyDescent="0.25">
      <c r="A33" s="171">
        <v>4.05</v>
      </c>
      <c r="B33" s="177" t="s">
        <v>669</v>
      </c>
      <c r="C33" s="184" t="s">
        <v>241</v>
      </c>
      <c r="D33" s="245">
        <v>2</v>
      </c>
      <c r="E33" s="174">
        <v>2319100</v>
      </c>
      <c r="F33" s="175">
        <f t="shared" si="6"/>
        <v>4638200</v>
      </c>
      <c r="G33" s="266">
        <f>+BALANCE!G26</f>
        <v>2</v>
      </c>
      <c r="H33" s="175">
        <f t="shared" si="7"/>
        <v>4638200</v>
      </c>
      <c r="I33" s="266">
        <v>5</v>
      </c>
      <c r="J33" s="175">
        <f t="shared" si="8"/>
        <v>11595500</v>
      </c>
      <c r="K33" s="266">
        <v>3</v>
      </c>
      <c r="L33" s="175">
        <f t="shared" si="9"/>
        <v>6957300</v>
      </c>
      <c r="M33" s="266">
        <v>5</v>
      </c>
      <c r="N33" s="175">
        <f t="shared" si="10"/>
        <v>11595500</v>
      </c>
      <c r="O33" s="266">
        <f t="shared" si="11"/>
        <v>5</v>
      </c>
      <c r="P33" s="175">
        <f t="shared" si="12"/>
        <v>11595500</v>
      </c>
      <c r="Q33" s="329">
        <f t="shared" si="0"/>
        <v>0</v>
      </c>
      <c r="S33" s="181">
        <v>2</v>
      </c>
      <c r="T33" s="181">
        <v>4638200</v>
      </c>
      <c r="V33" s="329">
        <f t="shared" si="1"/>
        <v>0</v>
      </c>
    </row>
    <row r="34" spans="1:22" s="181" customFormat="1" ht="20.100000000000001" customHeight="1" x14ac:dyDescent="0.25">
      <c r="A34" s="171">
        <v>4.0599999999999996</v>
      </c>
      <c r="B34" s="177" t="s">
        <v>670</v>
      </c>
      <c r="C34" s="184" t="s">
        <v>241</v>
      </c>
      <c r="D34" s="245">
        <v>1</v>
      </c>
      <c r="E34" s="174">
        <v>4545500</v>
      </c>
      <c r="F34" s="175">
        <f t="shared" si="6"/>
        <v>4545500</v>
      </c>
      <c r="G34" s="266">
        <f>+BALANCE!G27</f>
        <v>0</v>
      </c>
      <c r="H34" s="175">
        <f t="shared" si="7"/>
        <v>0</v>
      </c>
      <c r="I34" s="266">
        <v>1</v>
      </c>
      <c r="J34" s="175">
        <f t="shared" si="8"/>
        <v>4545500</v>
      </c>
      <c r="K34" s="266">
        <v>1</v>
      </c>
      <c r="L34" s="175">
        <f t="shared" si="9"/>
        <v>4545500</v>
      </c>
      <c r="M34" s="266">
        <v>1</v>
      </c>
      <c r="N34" s="175">
        <f t="shared" si="10"/>
        <v>4545500</v>
      </c>
      <c r="O34" s="266">
        <f t="shared" si="11"/>
        <v>1</v>
      </c>
      <c r="P34" s="175">
        <f t="shared" si="12"/>
        <v>4545500</v>
      </c>
      <c r="Q34" s="329">
        <f t="shared" si="0"/>
        <v>0</v>
      </c>
      <c r="S34" s="181">
        <v>0</v>
      </c>
      <c r="T34" s="181">
        <v>0</v>
      </c>
      <c r="V34" s="329">
        <f t="shared" si="1"/>
        <v>0</v>
      </c>
    </row>
    <row r="35" spans="1:22" s="181" customFormat="1" ht="20.100000000000001" customHeight="1" x14ac:dyDescent="0.25">
      <c r="A35" s="171">
        <v>4.07</v>
      </c>
      <c r="B35" s="177" t="s">
        <v>671</v>
      </c>
      <c r="C35" s="184" t="s">
        <v>241</v>
      </c>
      <c r="D35" s="245">
        <v>1</v>
      </c>
      <c r="E35" s="174">
        <v>5411300</v>
      </c>
      <c r="F35" s="175">
        <f t="shared" si="6"/>
        <v>5411300</v>
      </c>
      <c r="G35" s="266">
        <f>+BALANCE!G28</f>
        <v>1</v>
      </c>
      <c r="H35" s="175">
        <f t="shared" si="7"/>
        <v>5411300</v>
      </c>
      <c r="I35" s="266">
        <v>1</v>
      </c>
      <c r="J35" s="175">
        <f t="shared" si="8"/>
        <v>5411300</v>
      </c>
      <c r="K35" s="266">
        <v>0</v>
      </c>
      <c r="L35" s="175">
        <f t="shared" si="9"/>
        <v>0</v>
      </c>
      <c r="M35" s="266">
        <v>1</v>
      </c>
      <c r="N35" s="175">
        <f t="shared" si="10"/>
        <v>5411300</v>
      </c>
      <c r="O35" s="266">
        <f t="shared" si="11"/>
        <v>1</v>
      </c>
      <c r="P35" s="175">
        <f t="shared" si="12"/>
        <v>5411300</v>
      </c>
      <c r="Q35" s="329">
        <f t="shared" si="0"/>
        <v>0</v>
      </c>
      <c r="S35" s="181">
        <v>1</v>
      </c>
      <c r="T35" s="181">
        <v>5411300</v>
      </c>
      <c r="V35" s="329">
        <f t="shared" si="1"/>
        <v>0</v>
      </c>
    </row>
    <row r="36" spans="1:22" s="181" customFormat="1" ht="20.100000000000001" customHeight="1" x14ac:dyDescent="0.25">
      <c r="A36" s="171">
        <v>4.08</v>
      </c>
      <c r="B36" s="177" t="s">
        <v>672</v>
      </c>
      <c r="C36" s="184" t="s">
        <v>241</v>
      </c>
      <c r="D36" s="245">
        <v>30</v>
      </c>
      <c r="E36" s="174">
        <v>44700</v>
      </c>
      <c r="F36" s="175">
        <f t="shared" si="6"/>
        <v>1341000</v>
      </c>
      <c r="G36" s="266">
        <f>+BALANCE!G29</f>
        <v>28</v>
      </c>
      <c r="H36" s="175">
        <f t="shared" si="7"/>
        <v>1251600</v>
      </c>
      <c r="I36" s="266">
        <v>32</v>
      </c>
      <c r="J36" s="175">
        <f t="shared" si="8"/>
        <v>1430400</v>
      </c>
      <c r="K36" s="266">
        <f>+K31*2</f>
        <v>4</v>
      </c>
      <c r="L36" s="175">
        <f t="shared" si="9"/>
        <v>178800</v>
      </c>
      <c r="M36" s="266">
        <v>32</v>
      </c>
      <c r="N36" s="175">
        <f t="shared" si="10"/>
        <v>1430400</v>
      </c>
      <c r="O36" s="266">
        <f t="shared" si="11"/>
        <v>32</v>
      </c>
      <c r="P36" s="175">
        <f t="shared" si="12"/>
        <v>1430400</v>
      </c>
      <c r="Q36" s="329">
        <f t="shared" si="0"/>
        <v>0</v>
      </c>
      <c r="S36" s="181">
        <v>28</v>
      </c>
      <c r="T36" s="181">
        <v>1251600</v>
      </c>
      <c r="V36" s="329">
        <f t="shared" si="1"/>
        <v>0</v>
      </c>
    </row>
    <row r="37" spans="1:22" s="181" customFormat="1" ht="20.100000000000001" customHeight="1" x14ac:dyDescent="0.25">
      <c r="A37" s="171">
        <v>4.09</v>
      </c>
      <c r="B37" s="177" t="s">
        <v>673</v>
      </c>
      <c r="C37" s="184" t="s">
        <v>241</v>
      </c>
      <c r="D37" s="245">
        <v>6</v>
      </c>
      <c r="E37" s="174">
        <v>26100</v>
      </c>
      <c r="F37" s="175">
        <f t="shared" si="6"/>
        <v>156600</v>
      </c>
      <c r="G37" s="266">
        <f>+BALANCE!G30</f>
        <v>4</v>
      </c>
      <c r="H37" s="175">
        <f t="shared" si="7"/>
        <v>104400</v>
      </c>
      <c r="I37" s="266">
        <v>6</v>
      </c>
      <c r="J37" s="175">
        <f t="shared" si="8"/>
        <v>156600</v>
      </c>
      <c r="K37" s="266">
        <f>+K30*2</f>
        <v>2</v>
      </c>
      <c r="L37" s="175">
        <f t="shared" si="9"/>
        <v>52200</v>
      </c>
      <c r="M37" s="266">
        <v>6</v>
      </c>
      <c r="N37" s="175">
        <f t="shared" si="10"/>
        <v>156600</v>
      </c>
      <c r="O37" s="266">
        <f t="shared" si="11"/>
        <v>6</v>
      </c>
      <c r="P37" s="175">
        <f t="shared" si="12"/>
        <v>156600</v>
      </c>
      <c r="Q37" s="329">
        <f t="shared" si="0"/>
        <v>0</v>
      </c>
      <c r="S37" s="181">
        <v>4</v>
      </c>
      <c r="T37" s="181">
        <v>104400</v>
      </c>
      <c r="V37" s="329">
        <f t="shared" si="1"/>
        <v>0</v>
      </c>
    </row>
    <row r="38" spans="1:22" s="181" customFormat="1" ht="20.100000000000001" customHeight="1" x14ac:dyDescent="0.25">
      <c r="A38" s="171">
        <v>4.0999999999999996</v>
      </c>
      <c r="B38" s="177" t="s">
        <v>674</v>
      </c>
      <c r="C38" s="184" t="s">
        <v>241</v>
      </c>
      <c r="D38" s="245">
        <v>14</v>
      </c>
      <c r="E38" s="174">
        <v>72600</v>
      </c>
      <c r="F38" s="175">
        <f t="shared" si="6"/>
        <v>1016400</v>
      </c>
      <c r="G38" s="266">
        <f>+BALANCE!G31</f>
        <v>6</v>
      </c>
      <c r="H38" s="175">
        <f t="shared" si="7"/>
        <v>435600</v>
      </c>
      <c r="I38" s="266">
        <v>12</v>
      </c>
      <c r="J38" s="175">
        <f t="shared" si="8"/>
        <v>871200</v>
      </c>
      <c r="K38" s="266">
        <f>+K29*2</f>
        <v>6</v>
      </c>
      <c r="L38" s="175">
        <f t="shared" si="9"/>
        <v>435600</v>
      </c>
      <c r="M38" s="266">
        <v>12</v>
      </c>
      <c r="N38" s="175">
        <f t="shared" si="10"/>
        <v>871200</v>
      </c>
      <c r="O38" s="266">
        <f t="shared" si="11"/>
        <v>12</v>
      </c>
      <c r="P38" s="175">
        <f t="shared" si="12"/>
        <v>871200</v>
      </c>
      <c r="Q38" s="329">
        <f t="shared" si="0"/>
        <v>0</v>
      </c>
      <c r="S38" s="181">
        <v>6</v>
      </c>
      <c r="T38" s="181">
        <v>435600</v>
      </c>
      <c r="V38" s="329">
        <f t="shared" si="1"/>
        <v>0</v>
      </c>
    </row>
    <row r="39" spans="1:22" s="181" customFormat="1" ht="20.100000000000001" customHeight="1" x14ac:dyDescent="0.25">
      <c r="A39" s="387">
        <v>4.1100000000000003</v>
      </c>
      <c r="B39" s="177" t="s">
        <v>675</v>
      </c>
      <c r="C39" s="388" t="s">
        <v>241</v>
      </c>
      <c r="D39" s="389">
        <v>34</v>
      </c>
      <c r="E39" s="390">
        <v>186500</v>
      </c>
      <c r="F39" s="386">
        <f t="shared" si="6"/>
        <v>6341000</v>
      </c>
      <c r="G39" s="266">
        <f>+BALANCE!G32</f>
        <v>8</v>
      </c>
      <c r="H39" s="386">
        <f t="shared" si="7"/>
        <v>1492000</v>
      </c>
      <c r="I39" s="266">
        <v>28</v>
      </c>
      <c r="J39" s="386">
        <f t="shared" si="8"/>
        <v>5222000</v>
      </c>
      <c r="K39" s="266">
        <f>+K32*2</f>
        <v>18</v>
      </c>
      <c r="L39" s="386">
        <f t="shared" si="9"/>
        <v>3357000</v>
      </c>
      <c r="M39" s="266">
        <v>26</v>
      </c>
      <c r="N39" s="175">
        <f t="shared" si="10"/>
        <v>4849000</v>
      </c>
      <c r="O39" s="266">
        <f t="shared" si="11"/>
        <v>26</v>
      </c>
      <c r="P39" s="386">
        <f t="shared" si="12"/>
        <v>4849000</v>
      </c>
      <c r="Q39" s="329">
        <f t="shared" si="0"/>
        <v>2</v>
      </c>
      <c r="S39" s="181">
        <v>8</v>
      </c>
      <c r="T39" s="181">
        <v>1492000</v>
      </c>
      <c r="V39" s="329">
        <f t="shared" si="1"/>
        <v>0</v>
      </c>
    </row>
    <row r="40" spans="1:22" s="181" customFormat="1" ht="20.100000000000001" customHeight="1" x14ac:dyDescent="0.25">
      <c r="A40" s="171">
        <v>4.12</v>
      </c>
      <c r="B40" s="177" t="s">
        <v>676</v>
      </c>
      <c r="C40" s="184" t="s">
        <v>241</v>
      </c>
      <c r="D40" s="245">
        <v>4</v>
      </c>
      <c r="E40" s="174">
        <v>342700</v>
      </c>
      <c r="F40" s="175">
        <f t="shared" si="6"/>
        <v>1370800</v>
      </c>
      <c r="G40" s="266">
        <f>+BALANCE!G33</f>
        <v>4</v>
      </c>
      <c r="H40" s="175">
        <f t="shared" si="7"/>
        <v>1370800</v>
      </c>
      <c r="I40" s="266">
        <v>8</v>
      </c>
      <c r="J40" s="175">
        <f t="shared" si="8"/>
        <v>2741600</v>
      </c>
      <c r="K40" s="266">
        <v>4</v>
      </c>
      <c r="L40" s="175">
        <f t="shared" si="9"/>
        <v>1370800</v>
      </c>
      <c r="M40" s="266">
        <v>8</v>
      </c>
      <c r="N40" s="175">
        <f t="shared" si="10"/>
        <v>2741600</v>
      </c>
      <c r="O40" s="266">
        <f t="shared" si="11"/>
        <v>8</v>
      </c>
      <c r="P40" s="175">
        <f t="shared" si="12"/>
        <v>2741600</v>
      </c>
      <c r="Q40" s="329">
        <f t="shared" si="0"/>
        <v>0</v>
      </c>
      <c r="S40" s="181">
        <v>4</v>
      </c>
      <c r="T40" s="181">
        <v>1370800</v>
      </c>
      <c r="V40" s="329">
        <f t="shared" si="1"/>
        <v>0</v>
      </c>
    </row>
    <row r="41" spans="1:22" s="181" customFormat="1" ht="20.100000000000001" customHeight="1" x14ac:dyDescent="0.25">
      <c r="A41" s="171">
        <v>4.13</v>
      </c>
      <c r="B41" s="177" t="s">
        <v>677</v>
      </c>
      <c r="C41" s="184" t="s">
        <v>241</v>
      </c>
      <c r="D41" s="245">
        <v>2</v>
      </c>
      <c r="E41" s="174">
        <v>612200</v>
      </c>
      <c r="F41" s="175">
        <f t="shared" si="6"/>
        <v>1224400</v>
      </c>
      <c r="G41" s="266">
        <f>+BALANCE!G34</f>
        <v>0</v>
      </c>
      <c r="H41" s="175">
        <f t="shared" si="7"/>
        <v>0</v>
      </c>
      <c r="I41" s="266">
        <v>2</v>
      </c>
      <c r="J41" s="175">
        <f t="shared" si="8"/>
        <v>1224400</v>
      </c>
      <c r="K41" s="266">
        <f>+K34*2</f>
        <v>2</v>
      </c>
      <c r="L41" s="175">
        <f t="shared" si="9"/>
        <v>1224400</v>
      </c>
      <c r="M41" s="266">
        <v>2</v>
      </c>
      <c r="N41" s="175">
        <f t="shared" si="10"/>
        <v>1224400</v>
      </c>
      <c r="O41" s="266">
        <f t="shared" si="11"/>
        <v>2</v>
      </c>
      <c r="P41" s="175">
        <f t="shared" si="12"/>
        <v>1224400</v>
      </c>
      <c r="Q41" s="329">
        <f t="shared" si="0"/>
        <v>0</v>
      </c>
      <c r="S41" s="181">
        <v>0</v>
      </c>
      <c r="T41" s="181">
        <v>0</v>
      </c>
      <c r="V41" s="329">
        <f t="shared" si="1"/>
        <v>0</v>
      </c>
    </row>
    <row r="42" spans="1:22" s="181" customFormat="1" ht="20.100000000000001" customHeight="1" x14ac:dyDescent="0.25">
      <c r="A42" s="171">
        <v>4.1399999999999997</v>
      </c>
      <c r="B42" s="177" t="s">
        <v>678</v>
      </c>
      <c r="C42" s="184" t="s">
        <v>241</v>
      </c>
      <c r="D42" s="245">
        <v>2</v>
      </c>
      <c r="E42" s="174">
        <v>948800</v>
      </c>
      <c r="F42" s="175">
        <f t="shared" si="6"/>
        <v>1897600</v>
      </c>
      <c r="G42" s="266">
        <f>+BALANCE!G35</f>
        <v>2</v>
      </c>
      <c r="H42" s="175">
        <f t="shared" si="7"/>
        <v>1897600</v>
      </c>
      <c r="I42" s="266">
        <v>2</v>
      </c>
      <c r="J42" s="175">
        <f t="shared" si="8"/>
        <v>1897600</v>
      </c>
      <c r="K42" s="266">
        <f>+K35*2</f>
        <v>0</v>
      </c>
      <c r="L42" s="175">
        <f t="shared" si="9"/>
        <v>0</v>
      </c>
      <c r="M42" s="266">
        <v>2</v>
      </c>
      <c r="N42" s="175">
        <f t="shared" si="10"/>
        <v>1897600</v>
      </c>
      <c r="O42" s="266">
        <f t="shared" si="11"/>
        <v>2</v>
      </c>
      <c r="P42" s="175">
        <f t="shared" si="12"/>
        <v>1897600</v>
      </c>
      <c r="Q42" s="329">
        <f t="shared" si="0"/>
        <v>0</v>
      </c>
      <c r="S42" s="181">
        <v>2</v>
      </c>
      <c r="T42" s="181">
        <v>1897600</v>
      </c>
      <c r="V42" s="329">
        <f t="shared" si="1"/>
        <v>0</v>
      </c>
    </row>
    <row r="43" spans="1:22" s="181" customFormat="1" ht="20.100000000000001" customHeight="1" x14ac:dyDescent="0.25">
      <c r="A43" s="171">
        <v>4.1500000000000004</v>
      </c>
      <c r="B43" s="177" t="s">
        <v>679</v>
      </c>
      <c r="C43" s="184" t="s">
        <v>60</v>
      </c>
      <c r="D43" s="245">
        <v>14</v>
      </c>
      <c r="E43" s="174">
        <v>237100</v>
      </c>
      <c r="F43" s="175">
        <f t="shared" si="6"/>
        <v>3319400</v>
      </c>
      <c r="G43" s="266">
        <f>+BALANCE!G36</f>
        <v>0</v>
      </c>
      <c r="H43" s="175">
        <f t="shared" si="7"/>
        <v>0</v>
      </c>
      <c r="I43" s="266">
        <v>0</v>
      </c>
      <c r="J43" s="175">
        <f t="shared" si="8"/>
        <v>0</v>
      </c>
      <c r="K43" s="266">
        <v>0</v>
      </c>
      <c r="L43" s="175">
        <f t="shared" si="9"/>
        <v>0</v>
      </c>
      <c r="M43" s="266">
        <v>0</v>
      </c>
      <c r="N43" s="175">
        <f t="shared" si="10"/>
        <v>0</v>
      </c>
      <c r="O43" s="266">
        <f t="shared" si="11"/>
        <v>0</v>
      </c>
      <c r="P43" s="175">
        <f t="shared" si="12"/>
        <v>0</v>
      </c>
      <c r="Q43" s="329">
        <f t="shared" si="0"/>
        <v>0</v>
      </c>
      <c r="S43" s="181">
        <v>0</v>
      </c>
      <c r="T43" s="181">
        <v>0</v>
      </c>
      <c r="V43" s="329">
        <f t="shared" si="1"/>
        <v>0</v>
      </c>
    </row>
    <row r="44" spans="1:22" s="181" customFormat="1" ht="20.100000000000001" customHeight="1" x14ac:dyDescent="0.25">
      <c r="A44" s="171">
        <v>4.16</v>
      </c>
      <c r="B44" s="177" t="s">
        <v>680</v>
      </c>
      <c r="C44" s="184" t="s">
        <v>60</v>
      </c>
      <c r="D44" s="245">
        <v>6</v>
      </c>
      <c r="E44" s="174">
        <v>71000</v>
      </c>
      <c r="F44" s="175">
        <f t="shared" si="6"/>
        <v>426000</v>
      </c>
      <c r="G44" s="266">
        <f>+BALANCE!G37</f>
        <v>0</v>
      </c>
      <c r="H44" s="175">
        <f t="shared" si="7"/>
        <v>0</v>
      </c>
      <c r="I44" s="266">
        <v>0</v>
      </c>
      <c r="J44" s="175">
        <f t="shared" si="8"/>
        <v>0</v>
      </c>
      <c r="K44" s="266">
        <v>0</v>
      </c>
      <c r="L44" s="175">
        <f t="shared" si="9"/>
        <v>0</v>
      </c>
      <c r="M44" s="266">
        <v>0</v>
      </c>
      <c r="N44" s="175">
        <f t="shared" si="10"/>
        <v>0</v>
      </c>
      <c r="O44" s="266">
        <f t="shared" si="11"/>
        <v>0</v>
      </c>
      <c r="P44" s="175">
        <f t="shared" si="12"/>
        <v>0</v>
      </c>
      <c r="Q44" s="329">
        <f t="shared" si="0"/>
        <v>0</v>
      </c>
      <c r="S44" s="181">
        <v>0</v>
      </c>
      <c r="T44" s="181">
        <v>0</v>
      </c>
      <c r="V44" s="329">
        <f t="shared" si="1"/>
        <v>0</v>
      </c>
    </row>
    <row r="45" spans="1:22" s="181" customFormat="1" ht="20.100000000000001" customHeight="1" x14ac:dyDescent="0.25">
      <c r="A45" s="171">
        <v>4.17</v>
      </c>
      <c r="B45" s="177" t="s">
        <v>681</v>
      </c>
      <c r="C45" s="184" t="s">
        <v>60</v>
      </c>
      <c r="D45" s="245">
        <v>30</v>
      </c>
      <c r="E45" s="174">
        <v>146800</v>
      </c>
      <c r="F45" s="175">
        <f t="shared" si="6"/>
        <v>4404000</v>
      </c>
      <c r="G45" s="266">
        <f>+BALANCE!G38</f>
        <v>0</v>
      </c>
      <c r="H45" s="175">
        <f t="shared" si="7"/>
        <v>0</v>
      </c>
      <c r="I45" s="266">
        <v>0</v>
      </c>
      <c r="J45" s="175">
        <f t="shared" si="8"/>
        <v>0</v>
      </c>
      <c r="K45" s="266">
        <v>0</v>
      </c>
      <c r="L45" s="175">
        <f t="shared" si="9"/>
        <v>0</v>
      </c>
      <c r="M45" s="266">
        <v>0</v>
      </c>
      <c r="N45" s="175">
        <f t="shared" si="10"/>
        <v>0</v>
      </c>
      <c r="O45" s="266">
        <f t="shared" si="11"/>
        <v>0</v>
      </c>
      <c r="P45" s="175">
        <f t="shared" si="12"/>
        <v>0</v>
      </c>
      <c r="Q45" s="329">
        <f t="shared" ref="Q45:Q61" si="13">+I45-O45</f>
        <v>0</v>
      </c>
      <c r="S45" s="181">
        <v>0</v>
      </c>
      <c r="T45" s="181">
        <v>0</v>
      </c>
      <c r="V45" s="329">
        <f t="shared" si="1"/>
        <v>0</v>
      </c>
    </row>
    <row r="46" spans="1:22" s="181" customFormat="1" ht="20.100000000000001" customHeight="1" x14ac:dyDescent="0.25">
      <c r="A46" s="171">
        <v>4.18</v>
      </c>
      <c r="B46" s="177" t="s">
        <v>682</v>
      </c>
      <c r="C46" s="184" t="s">
        <v>60</v>
      </c>
      <c r="D46" s="245">
        <v>34</v>
      </c>
      <c r="E46" s="174">
        <v>113900</v>
      </c>
      <c r="F46" s="175">
        <f t="shared" si="6"/>
        <v>3872600</v>
      </c>
      <c r="G46" s="266">
        <f>+BALANCE!G39</f>
        <v>0</v>
      </c>
      <c r="H46" s="175">
        <f t="shared" si="7"/>
        <v>0</v>
      </c>
      <c r="I46" s="266">
        <v>0</v>
      </c>
      <c r="J46" s="175">
        <f t="shared" si="8"/>
        <v>0</v>
      </c>
      <c r="K46" s="266">
        <v>0</v>
      </c>
      <c r="L46" s="175">
        <f t="shared" si="9"/>
        <v>0</v>
      </c>
      <c r="M46" s="266">
        <v>0</v>
      </c>
      <c r="N46" s="175">
        <f t="shared" si="10"/>
        <v>0</v>
      </c>
      <c r="O46" s="266">
        <f t="shared" si="11"/>
        <v>0</v>
      </c>
      <c r="P46" s="175">
        <f t="shared" si="12"/>
        <v>0</v>
      </c>
      <c r="Q46" s="329">
        <f t="shared" si="13"/>
        <v>0</v>
      </c>
      <c r="S46" s="181">
        <v>0</v>
      </c>
      <c r="T46" s="181">
        <v>0</v>
      </c>
      <c r="V46" s="329">
        <f t="shared" si="1"/>
        <v>0</v>
      </c>
    </row>
    <row r="47" spans="1:22" s="181" customFormat="1" ht="21.95" customHeight="1" x14ac:dyDescent="0.25">
      <c r="A47" s="171">
        <v>4.1900000000000004</v>
      </c>
      <c r="B47" s="177" t="s">
        <v>683</v>
      </c>
      <c r="C47" s="184" t="s">
        <v>60</v>
      </c>
      <c r="D47" s="245">
        <v>4</v>
      </c>
      <c r="E47" s="174">
        <v>183300</v>
      </c>
      <c r="F47" s="175">
        <f t="shared" si="6"/>
        <v>733200</v>
      </c>
      <c r="G47" s="266">
        <f>+BALANCE!G40</f>
        <v>0</v>
      </c>
      <c r="H47" s="175">
        <f t="shared" si="7"/>
        <v>0</v>
      </c>
      <c r="I47" s="266">
        <v>0</v>
      </c>
      <c r="J47" s="175">
        <f t="shared" si="8"/>
        <v>0</v>
      </c>
      <c r="K47" s="266">
        <v>0</v>
      </c>
      <c r="L47" s="175">
        <f t="shared" si="9"/>
        <v>0</v>
      </c>
      <c r="M47" s="266">
        <v>0</v>
      </c>
      <c r="N47" s="175">
        <f t="shared" si="10"/>
        <v>0</v>
      </c>
      <c r="O47" s="266">
        <f t="shared" si="11"/>
        <v>0</v>
      </c>
      <c r="P47" s="175">
        <f t="shared" si="12"/>
        <v>0</v>
      </c>
      <c r="Q47" s="329">
        <f t="shared" si="13"/>
        <v>0</v>
      </c>
      <c r="S47" s="181">
        <v>0</v>
      </c>
      <c r="T47" s="181">
        <v>0</v>
      </c>
      <c r="V47" s="329">
        <f t="shared" si="1"/>
        <v>0</v>
      </c>
    </row>
    <row r="48" spans="1:22" s="181" customFormat="1" ht="21.95" customHeight="1" x14ac:dyDescent="0.25">
      <c r="A48" s="171">
        <v>4.2</v>
      </c>
      <c r="B48" s="177" t="s">
        <v>684</v>
      </c>
      <c r="C48" s="184" t="s">
        <v>60</v>
      </c>
      <c r="D48" s="245">
        <v>2</v>
      </c>
      <c r="E48" s="174">
        <v>278200</v>
      </c>
      <c r="F48" s="175">
        <f t="shared" si="6"/>
        <v>556400</v>
      </c>
      <c r="G48" s="266">
        <f>+BALANCE!G41</f>
        <v>0</v>
      </c>
      <c r="H48" s="175">
        <f t="shared" si="7"/>
        <v>0</v>
      </c>
      <c r="I48" s="266">
        <v>0</v>
      </c>
      <c r="J48" s="175">
        <f t="shared" si="8"/>
        <v>0</v>
      </c>
      <c r="K48" s="266">
        <v>0</v>
      </c>
      <c r="L48" s="175">
        <f t="shared" si="9"/>
        <v>0</v>
      </c>
      <c r="M48" s="266">
        <v>0</v>
      </c>
      <c r="N48" s="175">
        <f t="shared" si="10"/>
        <v>0</v>
      </c>
      <c r="O48" s="266">
        <f t="shared" si="11"/>
        <v>0</v>
      </c>
      <c r="P48" s="175">
        <f t="shared" si="12"/>
        <v>0</v>
      </c>
      <c r="Q48" s="329">
        <f t="shared" si="13"/>
        <v>0</v>
      </c>
      <c r="S48" s="181">
        <v>0</v>
      </c>
      <c r="T48" s="181">
        <v>0</v>
      </c>
      <c r="V48" s="329">
        <f t="shared" si="1"/>
        <v>0</v>
      </c>
    </row>
    <row r="49" spans="1:22" s="181" customFormat="1" ht="21.95" customHeight="1" x14ac:dyDescent="0.25">
      <c r="A49" s="171">
        <v>4.21</v>
      </c>
      <c r="B49" s="177" t="s">
        <v>685</v>
      </c>
      <c r="C49" s="184" t="s">
        <v>60</v>
      </c>
      <c r="D49" s="245">
        <v>2</v>
      </c>
      <c r="E49" s="174">
        <v>381800</v>
      </c>
      <c r="F49" s="175">
        <f t="shared" si="6"/>
        <v>763600</v>
      </c>
      <c r="G49" s="266">
        <f>+BALANCE!G42</f>
        <v>0</v>
      </c>
      <c r="H49" s="175">
        <f t="shared" si="7"/>
        <v>0</v>
      </c>
      <c r="I49" s="266">
        <v>0</v>
      </c>
      <c r="J49" s="175">
        <f t="shared" si="8"/>
        <v>0</v>
      </c>
      <c r="K49" s="266">
        <v>0</v>
      </c>
      <c r="L49" s="175">
        <f t="shared" si="9"/>
        <v>0</v>
      </c>
      <c r="M49" s="266">
        <v>0</v>
      </c>
      <c r="N49" s="175">
        <f t="shared" si="10"/>
        <v>0</v>
      </c>
      <c r="O49" s="266">
        <f t="shared" si="11"/>
        <v>0</v>
      </c>
      <c r="P49" s="175">
        <f t="shared" si="12"/>
        <v>0</v>
      </c>
      <c r="Q49" s="329">
        <f t="shared" si="13"/>
        <v>0</v>
      </c>
      <c r="S49" s="181">
        <v>0</v>
      </c>
      <c r="T49" s="181">
        <v>0</v>
      </c>
      <c r="V49" s="329">
        <f t="shared" si="1"/>
        <v>0</v>
      </c>
    </row>
    <row r="50" spans="1:22" s="181" customFormat="1" x14ac:dyDescent="0.25">
      <c r="A50" s="190"/>
      <c r="B50" s="179" t="s">
        <v>655</v>
      </c>
      <c r="C50" s="186" t="s">
        <v>650</v>
      </c>
      <c r="D50" s="188" t="s">
        <v>650</v>
      </c>
      <c r="E50" s="187"/>
      <c r="F50" s="180">
        <f>SUM(F29:F49)</f>
        <v>85268400</v>
      </c>
      <c r="G50" s="266" t="str">
        <f>+BALANCE!G43</f>
        <v xml:space="preserve"> </v>
      </c>
      <c r="H50" s="180">
        <f>SUM(H29:H49)</f>
        <v>34921900</v>
      </c>
      <c r="I50" s="266"/>
      <c r="J50" s="180">
        <f>SUM(J29:J49)</f>
        <v>78145500</v>
      </c>
      <c r="K50" s="266"/>
      <c r="L50" s="180">
        <f>SUM(L29:L49)</f>
        <v>36511800</v>
      </c>
      <c r="M50" s="266"/>
      <c r="N50" s="180">
        <f>SUM(N29:N49)</f>
        <v>76187800</v>
      </c>
      <c r="O50" s="266"/>
      <c r="P50" s="180">
        <f>SUM(P29:P49)</f>
        <v>71433700</v>
      </c>
      <c r="Q50" s="329">
        <f t="shared" si="13"/>
        <v>0</v>
      </c>
      <c r="S50" s="181" t="s">
        <v>650</v>
      </c>
      <c r="T50" s="181">
        <v>34921900</v>
      </c>
      <c r="V50" s="329" t="e">
        <f t="shared" si="1"/>
        <v>#VALUE!</v>
      </c>
    </row>
    <row r="51" spans="1:22" s="181" customFormat="1" ht="18.75" customHeight="1" x14ac:dyDescent="0.25">
      <c r="A51" s="178">
        <v>5</v>
      </c>
      <c r="B51" s="179" t="s">
        <v>686</v>
      </c>
      <c r="C51" s="186"/>
      <c r="D51" s="188"/>
      <c r="E51" s="186"/>
      <c r="F51" s="189"/>
      <c r="G51" s="266"/>
      <c r="H51" s="189"/>
      <c r="I51" s="266"/>
      <c r="J51" s="189"/>
      <c r="K51" s="266"/>
      <c r="L51" s="189"/>
      <c r="M51" s="266"/>
      <c r="N51" s="189"/>
      <c r="O51" s="266"/>
      <c r="P51" s="189"/>
      <c r="Q51" s="329">
        <f t="shared" si="13"/>
        <v>0</v>
      </c>
      <c r="V51" s="329">
        <f t="shared" si="1"/>
        <v>0</v>
      </c>
    </row>
    <row r="52" spans="1:22" ht="18.75" customHeight="1" x14ac:dyDescent="0.25">
      <c r="A52" s="171">
        <v>5.01</v>
      </c>
      <c r="B52" s="194" t="s">
        <v>687</v>
      </c>
      <c r="C52" s="241" t="s">
        <v>241</v>
      </c>
      <c r="D52" s="195">
        <v>46</v>
      </c>
      <c r="E52" s="174">
        <v>37200</v>
      </c>
      <c r="F52" s="175">
        <f>ROUND(D52*E52,0)</f>
        <v>1711200</v>
      </c>
      <c r="G52" s="266">
        <f>+BALANCE!G45</f>
        <v>26</v>
      </c>
      <c r="H52" s="175">
        <f>ROUND(E52*G52,0)</f>
        <v>967200</v>
      </c>
      <c r="I52" s="266">
        <v>49</v>
      </c>
      <c r="J52" s="175">
        <f>ROUND(E52*I52,0)</f>
        <v>1822800</v>
      </c>
      <c r="K52" s="266">
        <v>19</v>
      </c>
      <c r="L52" s="175">
        <f>ROUND(E52*K52,0)</f>
        <v>706800</v>
      </c>
      <c r="M52" s="266">
        <v>48</v>
      </c>
      <c r="N52" s="175">
        <f t="shared" ref="N52:N53" si="14">ROUND(M52*E52,0)</f>
        <v>1785600</v>
      </c>
      <c r="O52" s="266">
        <f>+K52+G52</f>
        <v>45</v>
      </c>
      <c r="P52" s="175">
        <f>ROUND(E52*O52,0)</f>
        <v>1674000</v>
      </c>
      <c r="Q52" s="329">
        <f t="shared" si="13"/>
        <v>4</v>
      </c>
      <c r="S52" s="157">
        <v>26</v>
      </c>
      <c r="T52" s="157">
        <v>967200</v>
      </c>
      <c r="V52" s="329">
        <f t="shared" si="1"/>
        <v>0</v>
      </c>
    </row>
    <row r="53" spans="1:22" ht="16.5" customHeight="1" x14ac:dyDescent="0.2">
      <c r="A53" s="171">
        <v>5.0199999999999996</v>
      </c>
      <c r="B53" s="192" t="s">
        <v>688</v>
      </c>
      <c r="C53" s="173" t="s">
        <v>689</v>
      </c>
      <c r="D53" s="244">
        <v>1</v>
      </c>
      <c r="E53" s="174">
        <v>1499100</v>
      </c>
      <c r="F53" s="175">
        <f>ROUND(D53*E53,0)</f>
        <v>1499100</v>
      </c>
      <c r="G53" s="266">
        <f>+BALANCE!G46</f>
        <v>0</v>
      </c>
      <c r="H53" s="175">
        <f>ROUND(E53*G53,0)</f>
        <v>0</v>
      </c>
      <c r="I53" s="266">
        <v>1</v>
      </c>
      <c r="J53" s="175">
        <f>ROUND(E53*I53,0)</f>
        <v>1499100</v>
      </c>
      <c r="K53" s="266">
        <v>0</v>
      </c>
      <c r="L53" s="175">
        <f>ROUND(E53*K53,0)</f>
        <v>0</v>
      </c>
      <c r="M53" s="266">
        <v>1</v>
      </c>
      <c r="N53" s="175">
        <f t="shared" si="14"/>
        <v>1499100</v>
      </c>
      <c r="O53" s="266">
        <f>+K53+G53</f>
        <v>0</v>
      </c>
      <c r="P53" s="175">
        <f>ROUND(E53*O53,0)</f>
        <v>0</v>
      </c>
      <c r="Q53" s="329">
        <f t="shared" si="13"/>
        <v>1</v>
      </c>
      <c r="S53" s="157">
        <v>0</v>
      </c>
      <c r="T53" s="157">
        <v>0</v>
      </c>
      <c r="V53" s="329">
        <f t="shared" si="1"/>
        <v>0</v>
      </c>
    </row>
    <row r="54" spans="1:22" s="181" customFormat="1" ht="21.95" customHeight="1" x14ac:dyDescent="0.25">
      <c r="A54" s="178"/>
      <c r="B54" s="186"/>
      <c r="C54" s="186"/>
      <c r="D54" s="188"/>
      <c r="E54" s="186" t="s">
        <v>655</v>
      </c>
      <c r="F54" s="180">
        <f>SUM(F52:F53)</f>
        <v>3210300</v>
      </c>
      <c r="G54" s="267"/>
      <c r="H54" s="180">
        <f>SUM(H52:H53)</f>
        <v>967200</v>
      </c>
      <c r="I54" s="267"/>
      <c r="J54" s="180">
        <f>SUM(J52:J53)</f>
        <v>3321900</v>
      </c>
      <c r="K54" s="267"/>
      <c r="L54" s="180">
        <f>SUM(L52:L53)</f>
        <v>706800</v>
      </c>
      <c r="M54" s="267"/>
      <c r="N54" s="180">
        <f>SUM(N52:N53)</f>
        <v>3284700</v>
      </c>
      <c r="O54" s="266"/>
      <c r="P54" s="180">
        <f>SUM(P52:P53)</f>
        <v>1674000</v>
      </c>
      <c r="Q54" s="329">
        <f t="shared" si="13"/>
        <v>0</v>
      </c>
      <c r="T54" s="181">
        <v>967200</v>
      </c>
      <c r="V54" s="329">
        <f t="shared" si="1"/>
        <v>0</v>
      </c>
    </row>
    <row r="55" spans="1:22" s="181" customFormat="1" x14ac:dyDescent="0.25">
      <c r="A55" s="178">
        <v>6</v>
      </c>
      <c r="B55" s="179" t="s">
        <v>774</v>
      </c>
      <c r="C55" s="186"/>
      <c r="D55" s="188"/>
      <c r="E55" s="186"/>
      <c r="F55" s="189"/>
      <c r="G55" s="267"/>
      <c r="H55" s="189"/>
      <c r="I55" s="267"/>
      <c r="J55" s="189"/>
      <c r="K55" s="327"/>
      <c r="L55" s="327"/>
      <c r="M55" s="267"/>
      <c r="N55" s="189"/>
      <c r="O55" s="266"/>
      <c r="P55" s="189"/>
      <c r="Q55" s="329">
        <f t="shared" si="13"/>
        <v>0</v>
      </c>
      <c r="V55" s="329">
        <f t="shared" si="1"/>
        <v>0</v>
      </c>
    </row>
    <row r="56" spans="1:22" s="181" customFormat="1" ht="12.75" x14ac:dyDescent="0.25">
      <c r="A56" s="171">
        <v>6.01</v>
      </c>
      <c r="B56" s="177" t="s">
        <v>835</v>
      </c>
      <c r="C56" s="241" t="s">
        <v>241</v>
      </c>
      <c r="D56" s="195"/>
      <c r="E56" s="174">
        <f>+'NP APU'!K396</f>
        <v>86900</v>
      </c>
      <c r="F56" s="175">
        <v>0</v>
      </c>
      <c r="G56" s="266">
        <v>0</v>
      </c>
      <c r="H56" s="175">
        <f t="shared" ref="H56:H62" si="15">G56*E56</f>
        <v>0</v>
      </c>
      <c r="I56" s="266">
        <v>5</v>
      </c>
      <c r="J56" s="175">
        <f>+I56*E56</f>
        <v>434500</v>
      </c>
      <c r="K56" s="266">
        <v>5</v>
      </c>
      <c r="L56" s="175">
        <f t="shared" ref="L56:L62" si="16">ROUND(E56*K56,0)</f>
        <v>434500</v>
      </c>
      <c r="M56" s="266">
        <v>5</v>
      </c>
      <c r="N56" s="175">
        <f t="shared" ref="N56:N64" si="17">ROUND(M56*E56,0)</f>
        <v>434500</v>
      </c>
      <c r="O56" s="266">
        <f t="shared" ref="O56:O62" si="18">+K56+G56</f>
        <v>5</v>
      </c>
      <c r="P56" s="175">
        <f t="shared" ref="P56:P62" si="19">ROUND(E56*O56,0)</f>
        <v>434500</v>
      </c>
      <c r="Q56" s="329">
        <f t="shared" si="13"/>
        <v>0</v>
      </c>
      <c r="S56" s="181">
        <v>0</v>
      </c>
      <c r="T56" s="181">
        <v>0</v>
      </c>
      <c r="V56" s="329">
        <f t="shared" si="1"/>
        <v>0</v>
      </c>
    </row>
    <row r="57" spans="1:22" s="181" customFormat="1" ht="12.75" x14ac:dyDescent="0.25">
      <c r="A57" s="171">
        <v>6.02</v>
      </c>
      <c r="B57" s="177" t="s">
        <v>836</v>
      </c>
      <c r="C57" s="241" t="s">
        <v>241</v>
      </c>
      <c r="D57" s="195"/>
      <c r="E57" s="174">
        <f>+'NP APU'!K432</f>
        <v>40941</v>
      </c>
      <c r="F57" s="175">
        <v>0</v>
      </c>
      <c r="G57" s="266">
        <v>0</v>
      </c>
      <c r="H57" s="175">
        <f t="shared" si="15"/>
        <v>0</v>
      </c>
      <c r="I57" s="266">
        <v>3</v>
      </c>
      <c r="J57" s="175">
        <f t="shared" ref="J57:J62" si="20">+I57*E57</f>
        <v>122823</v>
      </c>
      <c r="K57" s="266">
        <v>3</v>
      </c>
      <c r="L57" s="175">
        <f t="shared" si="16"/>
        <v>122823</v>
      </c>
      <c r="M57" s="266">
        <v>3</v>
      </c>
      <c r="N57" s="175">
        <f t="shared" si="17"/>
        <v>122823</v>
      </c>
      <c r="O57" s="266">
        <f t="shared" si="18"/>
        <v>3</v>
      </c>
      <c r="P57" s="175">
        <f t="shared" si="19"/>
        <v>122823</v>
      </c>
      <c r="Q57" s="329">
        <f t="shared" si="13"/>
        <v>0</v>
      </c>
      <c r="S57" s="181">
        <v>0</v>
      </c>
      <c r="T57" s="181">
        <v>0</v>
      </c>
      <c r="V57" s="329">
        <f t="shared" si="1"/>
        <v>0</v>
      </c>
    </row>
    <row r="58" spans="1:22" s="181" customFormat="1" ht="12.75" x14ac:dyDescent="0.25">
      <c r="A58" s="171">
        <v>6.03</v>
      </c>
      <c r="B58" s="177" t="s">
        <v>837</v>
      </c>
      <c r="C58" s="241" t="s">
        <v>241</v>
      </c>
      <c r="D58" s="195"/>
      <c r="E58" s="174">
        <f>+'NP APU'!K468</f>
        <v>65175</v>
      </c>
      <c r="F58" s="175">
        <v>0</v>
      </c>
      <c r="G58" s="266">
        <v>0</v>
      </c>
      <c r="H58" s="175">
        <f t="shared" si="15"/>
        <v>0</v>
      </c>
      <c r="I58" s="266">
        <v>15</v>
      </c>
      <c r="J58" s="175">
        <f t="shared" si="20"/>
        <v>977625</v>
      </c>
      <c r="K58" s="266">
        <v>15</v>
      </c>
      <c r="L58" s="175">
        <f t="shared" si="16"/>
        <v>977625</v>
      </c>
      <c r="M58" s="266">
        <v>15</v>
      </c>
      <c r="N58" s="175">
        <f t="shared" si="17"/>
        <v>977625</v>
      </c>
      <c r="O58" s="266">
        <f t="shared" si="18"/>
        <v>15</v>
      </c>
      <c r="P58" s="175">
        <f t="shared" si="19"/>
        <v>977625</v>
      </c>
      <c r="Q58" s="329">
        <f t="shared" si="13"/>
        <v>0</v>
      </c>
      <c r="S58" s="181">
        <v>0</v>
      </c>
      <c r="T58" s="181">
        <v>0</v>
      </c>
      <c r="V58" s="329">
        <f t="shared" si="1"/>
        <v>0</v>
      </c>
    </row>
    <row r="59" spans="1:22" s="181" customFormat="1" ht="12.75" x14ac:dyDescent="0.25">
      <c r="A59" s="171">
        <v>6.04</v>
      </c>
      <c r="B59" s="177" t="s">
        <v>838</v>
      </c>
      <c r="C59" s="241" t="s">
        <v>241</v>
      </c>
      <c r="D59" s="195"/>
      <c r="E59" s="174">
        <f>+'NP APU'!K502</f>
        <v>158348</v>
      </c>
      <c r="F59" s="175">
        <v>0</v>
      </c>
      <c r="G59" s="266">
        <v>0</v>
      </c>
      <c r="H59" s="175">
        <f t="shared" si="15"/>
        <v>0</v>
      </c>
      <c r="I59" s="266">
        <v>15</v>
      </c>
      <c r="J59" s="175">
        <f t="shared" si="20"/>
        <v>2375220</v>
      </c>
      <c r="K59" s="266">
        <v>11</v>
      </c>
      <c r="L59" s="175">
        <f t="shared" si="16"/>
        <v>1741828</v>
      </c>
      <c r="M59" s="266">
        <v>15</v>
      </c>
      <c r="N59" s="175">
        <f t="shared" si="17"/>
        <v>2375220</v>
      </c>
      <c r="O59" s="266">
        <f t="shared" si="18"/>
        <v>11</v>
      </c>
      <c r="P59" s="175">
        <f t="shared" si="19"/>
        <v>1741828</v>
      </c>
      <c r="Q59" s="329">
        <f t="shared" si="13"/>
        <v>4</v>
      </c>
      <c r="S59" s="181">
        <v>0</v>
      </c>
      <c r="T59" s="181">
        <v>0</v>
      </c>
      <c r="V59" s="329">
        <f t="shared" si="1"/>
        <v>0</v>
      </c>
    </row>
    <row r="60" spans="1:22" s="181" customFormat="1" ht="12.75" x14ac:dyDescent="0.25">
      <c r="A60" s="171">
        <v>6.05</v>
      </c>
      <c r="B60" s="177" t="s">
        <v>839</v>
      </c>
      <c r="C60" s="241" t="s">
        <v>241</v>
      </c>
      <c r="D60" s="195"/>
      <c r="E60" s="174">
        <f>+'NP APU'!K536</f>
        <v>261131</v>
      </c>
      <c r="F60" s="175">
        <v>0</v>
      </c>
      <c r="G60" s="266">
        <v>0</v>
      </c>
      <c r="H60" s="175">
        <f t="shared" si="15"/>
        <v>0</v>
      </c>
      <c r="I60" s="266">
        <v>2</v>
      </c>
      <c r="J60" s="175">
        <f t="shared" si="20"/>
        <v>522262</v>
      </c>
      <c r="K60" s="266">
        <v>2</v>
      </c>
      <c r="L60" s="175">
        <f t="shared" si="16"/>
        <v>522262</v>
      </c>
      <c r="M60" s="266">
        <v>2</v>
      </c>
      <c r="N60" s="175">
        <f t="shared" si="17"/>
        <v>522262</v>
      </c>
      <c r="O60" s="266">
        <f t="shared" si="18"/>
        <v>2</v>
      </c>
      <c r="P60" s="175">
        <f t="shared" si="19"/>
        <v>522262</v>
      </c>
      <c r="Q60" s="329">
        <f t="shared" si="13"/>
        <v>0</v>
      </c>
      <c r="S60" s="181">
        <v>0</v>
      </c>
      <c r="T60" s="181">
        <v>0</v>
      </c>
      <c r="V60" s="329">
        <f t="shared" si="1"/>
        <v>0</v>
      </c>
    </row>
    <row r="61" spans="1:22" s="181" customFormat="1" ht="12.75" x14ac:dyDescent="0.25">
      <c r="A61" s="171">
        <v>6.08</v>
      </c>
      <c r="B61" s="177" t="s">
        <v>848</v>
      </c>
      <c r="C61" s="241" t="s">
        <v>241</v>
      </c>
      <c r="D61" s="347"/>
      <c r="E61" s="348">
        <f>+'NP APU'!K572</f>
        <v>298666</v>
      </c>
      <c r="F61" s="175">
        <v>0</v>
      </c>
      <c r="G61" s="266">
        <v>0</v>
      </c>
      <c r="H61" s="175">
        <f t="shared" si="15"/>
        <v>0</v>
      </c>
      <c r="I61" s="266">
        <v>6</v>
      </c>
      <c r="J61" s="175">
        <f t="shared" si="20"/>
        <v>1791996</v>
      </c>
      <c r="K61" s="350">
        <v>0</v>
      </c>
      <c r="L61" s="175">
        <f t="shared" si="16"/>
        <v>0</v>
      </c>
      <c r="M61" s="266">
        <v>6</v>
      </c>
      <c r="N61" s="175">
        <f t="shared" si="17"/>
        <v>1791996</v>
      </c>
      <c r="O61" s="350">
        <f t="shared" si="18"/>
        <v>0</v>
      </c>
      <c r="P61" s="175">
        <f t="shared" si="19"/>
        <v>0</v>
      </c>
      <c r="Q61" s="329">
        <f t="shared" si="13"/>
        <v>6</v>
      </c>
      <c r="V61" s="329"/>
    </row>
    <row r="62" spans="1:22" s="181" customFormat="1" ht="12.75" x14ac:dyDescent="0.25">
      <c r="A62" s="387">
        <v>6.09</v>
      </c>
      <c r="B62" s="177" t="s">
        <v>849</v>
      </c>
      <c r="C62" s="385" t="s">
        <v>241</v>
      </c>
      <c r="D62" s="347"/>
      <c r="E62" s="348">
        <f>+'NP APU'!K606</f>
        <v>412399</v>
      </c>
      <c r="F62" s="175">
        <v>0</v>
      </c>
      <c r="G62" s="266">
        <v>0</v>
      </c>
      <c r="H62" s="175">
        <f t="shared" si="15"/>
        <v>0</v>
      </c>
      <c r="I62" s="350">
        <v>2</v>
      </c>
      <c r="J62" s="175">
        <f t="shared" si="20"/>
        <v>824798</v>
      </c>
      <c r="K62" s="350">
        <v>2</v>
      </c>
      <c r="L62" s="175">
        <f t="shared" si="16"/>
        <v>824798</v>
      </c>
      <c r="M62" s="350">
        <v>2</v>
      </c>
      <c r="N62" s="175">
        <f t="shared" si="17"/>
        <v>824798</v>
      </c>
      <c r="O62" s="350">
        <f t="shared" si="18"/>
        <v>2</v>
      </c>
      <c r="P62" s="175">
        <f t="shared" si="19"/>
        <v>824798</v>
      </c>
      <c r="Q62" s="329"/>
      <c r="V62" s="329"/>
    </row>
    <row r="63" spans="1:22" s="181" customFormat="1" ht="25.5" x14ac:dyDescent="0.25">
      <c r="A63" s="350">
        <v>6.1</v>
      </c>
      <c r="B63" s="397" t="s">
        <v>874</v>
      </c>
      <c r="C63" s="398" t="s">
        <v>241</v>
      </c>
      <c r="D63" s="347"/>
      <c r="E63" s="348">
        <f>+'NP APU'!K1234</f>
        <v>166611</v>
      </c>
      <c r="F63" s="349">
        <v>0</v>
      </c>
      <c r="G63" s="350">
        <v>0</v>
      </c>
      <c r="H63" s="349">
        <v>0</v>
      </c>
      <c r="I63" s="350"/>
      <c r="J63" s="349"/>
      <c r="K63" s="350"/>
      <c r="L63" s="349"/>
      <c r="M63" s="350">
        <v>4</v>
      </c>
      <c r="N63" s="175">
        <f t="shared" si="17"/>
        <v>666444</v>
      </c>
      <c r="O63" s="350"/>
      <c r="P63" s="349"/>
      <c r="Q63" s="329"/>
      <c r="V63" s="329"/>
    </row>
    <row r="64" spans="1:22" s="181" customFormat="1" ht="12.75" x14ac:dyDescent="0.25">
      <c r="A64" s="350">
        <v>6.11</v>
      </c>
      <c r="B64" s="397" t="s">
        <v>888</v>
      </c>
      <c r="C64" s="398" t="s">
        <v>241</v>
      </c>
      <c r="D64" s="347"/>
      <c r="E64" s="348">
        <f>+'NP APU'!K1268</f>
        <v>68234</v>
      </c>
      <c r="F64" s="349">
        <v>0</v>
      </c>
      <c r="G64" s="350">
        <v>0</v>
      </c>
      <c r="H64" s="349">
        <v>0</v>
      </c>
      <c r="I64" s="350"/>
      <c r="J64" s="349"/>
      <c r="K64" s="350"/>
      <c r="L64" s="349"/>
      <c r="M64" s="350">
        <v>5</v>
      </c>
      <c r="N64" s="175">
        <f t="shared" si="17"/>
        <v>341170</v>
      </c>
      <c r="O64" s="350"/>
      <c r="P64" s="349"/>
      <c r="Q64" s="329"/>
      <c r="V64" s="329"/>
    </row>
    <row r="65" spans="1:22" s="181" customFormat="1" ht="12.75" thickBot="1" x14ac:dyDescent="0.3">
      <c r="A65" s="196"/>
      <c r="B65" s="198"/>
      <c r="C65" s="198"/>
      <c r="D65" s="246"/>
      <c r="E65" s="198" t="s">
        <v>655</v>
      </c>
      <c r="F65" s="199">
        <f>SUM(F56:F64)</f>
        <v>0</v>
      </c>
      <c r="G65" s="256"/>
      <c r="H65" s="199">
        <f>SUM(H56:H62)</f>
        <v>0</v>
      </c>
      <c r="I65" s="256"/>
      <c r="J65" s="199">
        <f>SUM(J56:J62)</f>
        <v>7049224</v>
      </c>
      <c r="K65" s="256"/>
      <c r="L65" s="199">
        <f>SUM(L56:L62)</f>
        <v>4623836</v>
      </c>
      <c r="M65" s="256"/>
      <c r="N65" s="199">
        <f>SUM(N56:N64)</f>
        <v>8056838</v>
      </c>
      <c r="O65" s="269"/>
      <c r="P65" s="199">
        <f>SUM(P56:P62)</f>
        <v>4623836</v>
      </c>
      <c r="S65" s="181">
        <v>0</v>
      </c>
      <c r="T65" s="181">
        <v>0</v>
      </c>
      <c r="V65" s="329">
        <f t="shared" ref="V65:V76" si="21">+S65-G65</f>
        <v>0</v>
      </c>
    </row>
    <row r="66" spans="1:22" ht="12.75" thickBot="1" x14ac:dyDescent="0.3">
      <c r="A66" s="316"/>
      <c r="B66" s="317"/>
      <c r="C66" s="317"/>
      <c r="D66" s="317"/>
      <c r="E66" s="317"/>
      <c r="F66" s="317"/>
      <c r="G66" s="317"/>
      <c r="H66" s="317"/>
      <c r="I66" s="317"/>
      <c r="J66" s="317"/>
      <c r="K66" s="317"/>
      <c r="L66" s="317"/>
      <c r="M66" s="317"/>
      <c r="N66" s="317"/>
      <c r="O66" s="317"/>
      <c r="P66" s="318"/>
      <c r="T66" s="157">
        <v>0</v>
      </c>
      <c r="V66" s="329">
        <f t="shared" si="21"/>
        <v>0</v>
      </c>
    </row>
    <row r="67" spans="1:22" ht="17.25" customHeight="1" x14ac:dyDescent="0.25">
      <c r="A67" s="538" t="s">
        <v>783</v>
      </c>
      <c r="B67" s="539"/>
      <c r="C67" s="200"/>
      <c r="D67" s="275"/>
      <c r="E67" s="201"/>
      <c r="F67" s="202">
        <f>SUM(F17,F22,F50,F27,F54,F65)</f>
        <v>111168867</v>
      </c>
      <c r="G67" s="257"/>
      <c r="H67" s="202">
        <f>SUM(H17,H22,H50,H27,H54,H65)</f>
        <v>44610392</v>
      </c>
      <c r="I67" s="257"/>
      <c r="J67" s="202">
        <f>SUM(J17,J22,J50,J27,J54,J65)</f>
        <v>111089347</v>
      </c>
      <c r="K67" s="328"/>
      <c r="L67" s="328">
        <f>SUM(L17,L22,L50,L27,L54,L65)</f>
        <v>48746834</v>
      </c>
      <c r="M67" s="257"/>
      <c r="N67" s="202">
        <f>SUM(N17,N22,N50,N27,N54,N65)</f>
        <v>111061753</v>
      </c>
      <c r="O67" s="270"/>
      <c r="P67" s="202">
        <f>SUM(P17,P22,P50,P27,P54,P65)</f>
        <v>93357226</v>
      </c>
      <c r="Q67" s="346">
        <f t="shared" ref="Q67:Q76" si="22">+H67+L67</f>
        <v>93357226</v>
      </c>
      <c r="R67" s="346">
        <f>+P67-Q67</f>
        <v>0</v>
      </c>
      <c r="V67" s="329">
        <f t="shared" si="21"/>
        <v>0</v>
      </c>
    </row>
    <row r="68" spans="1:22" ht="19.5" customHeight="1" x14ac:dyDescent="0.25">
      <c r="A68" s="502" t="s">
        <v>784</v>
      </c>
      <c r="B68" s="503"/>
      <c r="C68" s="203"/>
      <c r="D68" s="277">
        <v>0.28000000000000003</v>
      </c>
      <c r="E68" s="204"/>
      <c r="F68" s="205">
        <f>ROUND(F67*D68,2)</f>
        <v>31127282.760000002</v>
      </c>
      <c r="G68" s="258"/>
      <c r="H68" s="205">
        <f>ROUND(H67*D68,2)</f>
        <v>12490909.76</v>
      </c>
      <c r="I68" s="258"/>
      <c r="J68" s="205">
        <f>ROUND(J67*D68,2)</f>
        <v>31105017.16</v>
      </c>
      <c r="K68" s="307"/>
      <c r="L68" s="205">
        <f>ROUND(L67*D68,2)</f>
        <v>13649113.52</v>
      </c>
      <c r="M68" s="258"/>
      <c r="N68" s="205">
        <f>ROUND(N67*D68,2)</f>
        <v>31097290.84</v>
      </c>
      <c r="O68" s="258"/>
      <c r="P68" s="205">
        <f>ROUND(P67*D68,2)</f>
        <v>26140023.280000001</v>
      </c>
      <c r="Q68" s="346">
        <f t="shared" si="22"/>
        <v>26140023.280000001</v>
      </c>
      <c r="R68" s="346">
        <f t="shared" ref="R68:R76" si="23">+P68-Q68</f>
        <v>0</v>
      </c>
      <c r="T68" s="157">
        <v>44610392</v>
      </c>
      <c r="V68" s="329">
        <f t="shared" si="21"/>
        <v>0</v>
      </c>
    </row>
    <row r="69" spans="1:22" ht="18.75" customHeight="1" x14ac:dyDescent="0.25">
      <c r="A69" s="504" t="s">
        <v>785</v>
      </c>
      <c r="B69" s="505"/>
      <c r="C69" s="206"/>
      <c r="D69" s="278">
        <v>0.02</v>
      </c>
      <c r="E69" s="207"/>
      <c r="F69" s="205">
        <f>ROUND(F67*D69,2)</f>
        <v>2223377.34</v>
      </c>
      <c r="G69" s="259"/>
      <c r="H69" s="205">
        <f>ROUND(H67*D69,2)</f>
        <v>892207.84</v>
      </c>
      <c r="I69" s="259"/>
      <c r="J69" s="205">
        <f>ROUND(J67*D69,2)</f>
        <v>2221786.94</v>
      </c>
      <c r="K69" s="307"/>
      <c r="L69" s="205">
        <f>ROUND(L67*D69,2)</f>
        <v>974936.68</v>
      </c>
      <c r="M69" s="259"/>
      <c r="N69" s="205">
        <f>ROUND(N67*D69,2)</f>
        <v>2221235.06</v>
      </c>
      <c r="O69" s="259"/>
      <c r="P69" s="205">
        <f>ROUND(P67*D69,2)</f>
        <v>1867144.52</v>
      </c>
      <c r="Q69" s="346">
        <f t="shared" si="22"/>
        <v>1867144.52</v>
      </c>
      <c r="R69" s="346">
        <f t="shared" si="23"/>
        <v>0</v>
      </c>
      <c r="T69" s="157">
        <v>12490909.76</v>
      </c>
      <c r="V69" s="329">
        <f t="shared" si="21"/>
        <v>0</v>
      </c>
    </row>
    <row r="70" spans="1:22" ht="17.25" customHeight="1" x14ac:dyDescent="0.25">
      <c r="A70" s="502" t="s">
        <v>786</v>
      </c>
      <c r="B70" s="503"/>
      <c r="C70" s="203"/>
      <c r="D70" s="277">
        <v>0.05</v>
      </c>
      <c r="E70" s="209"/>
      <c r="F70" s="205">
        <f>ROUND(F67*D70,2)</f>
        <v>5558443.3499999996</v>
      </c>
      <c r="G70" s="260"/>
      <c r="H70" s="205">
        <f>ROUND(H67*D70,2)</f>
        <v>2230519.6</v>
      </c>
      <c r="I70" s="260"/>
      <c r="J70" s="205">
        <f>ROUND(J67*D70,2)</f>
        <v>5554467.3499999996</v>
      </c>
      <c r="K70" s="307"/>
      <c r="L70" s="205">
        <f>ROUND(L67*D70,2)</f>
        <v>2437341.7000000002</v>
      </c>
      <c r="M70" s="260"/>
      <c r="N70" s="205">
        <f>ROUND(N67*D70,2)</f>
        <v>5553087.6500000004</v>
      </c>
      <c r="O70" s="260"/>
      <c r="P70" s="205">
        <f>ROUND(P67*D70,2)</f>
        <v>4667861.3</v>
      </c>
      <c r="Q70" s="346">
        <f t="shared" si="22"/>
        <v>4667861.3000000007</v>
      </c>
      <c r="R70" s="346">
        <f t="shared" si="23"/>
        <v>0</v>
      </c>
      <c r="T70" s="157">
        <v>892207.84</v>
      </c>
      <c r="V70" s="329">
        <f t="shared" si="21"/>
        <v>0</v>
      </c>
    </row>
    <row r="71" spans="1:22" ht="18.75" customHeight="1" x14ac:dyDescent="0.25">
      <c r="A71" s="504" t="s">
        <v>787</v>
      </c>
      <c r="B71" s="505"/>
      <c r="C71" s="211"/>
      <c r="D71" s="279"/>
      <c r="E71" s="212"/>
      <c r="F71" s="213">
        <f>ROUND(F67+F68+F69+F70,2)</f>
        <v>150077970.44999999</v>
      </c>
      <c r="G71" s="259"/>
      <c r="H71" s="213">
        <f>ROUND(H67+H68+H69+H70,2)</f>
        <v>60224029.200000003</v>
      </c>
      <c r="I71" s="259"/>
      <c r="J71" s="213">
        <f>ROUND(J67+J68+J69+J70,2)</f>
        <v>149970618.44999999</v>
      </c>
      <c r="K71" s="308"/>
      <c r="L71" s="308">
        <f>ROUND(L67+L68+L69+L70,2)</f>
        <v>65808225.899999999</v>
      </c>
      <c r="M71" s="259"/>
      <c r="N71" s="213">
        <f>ROUND(N67+N68+N69+N70,2)</f>
        <v>149933366.55000001</v>
      </c>
      <c r="O71" s="259"/>
      <c r="P71" s="213">
        <f>ROUND(P67+P68+P69+P70,2)</f>
        <v>126032255.09999999</v>
      </c>
      <c r="Q71" s="346">
        <f t="shared" si="22"/>
        <v>126032255.09999999</v>
      </c>
      <c r="R71" s="346">
        <f t="shared" si="23"/>
        <v>0</v>
      </c>
      <c r="T71" s="157">
        <v>2230519.6</v>
      </c>
      <c r="V71" s="329">
        <f t="shared" si="21"/>
        <v>0</v>
      </c>
    </row>
    <row r="72" spans="1:22" ht="21.95" hidden="1" customHeight="1" thickBot="1" x14ac:dyDescent="0.3">
      <c r="A72" s="522" t="s">
        <v>788</v>
      </c>
      <c r="B72" s="523"/>
      <c r="C72" s="273"/>
      <c r="D72" s="248">
        <v>0.2</v>
      </c>
      <c r="E72" s="214"/>
      <c r="F72" s="215">
        <f>ROUND(F71*D72,0)</f>
        <v>30015594</v>
      </c>
      <c r="G72" s="268"/>
      <c r="H72" s="217"/>
      <c r="I72" s="331"/>
      <c r="J72" s="218"/>
      <c r="K72" s="309"/>
      <c r="L72" s="309"/>
      <c r="M72" s="331"/>
      <c r="N72" s="218"/>
      <c r="O72" s="268"/>
      <c r="P72" s="218"/>
      <c r="Q72" s="346">
        <f t="shared" si="22"/>
        <v>0</v>
      </c>
      <c r="R72" s="346">
        <f t="shared" si="23"/>
        <v>0</v>
      </c>
      <c r="T72" s="157">
        <v>60224029.200000003</v>
      </c>
      <c r="V72" s="329">
        <f t="shared" si="21"/>
        <v>0</v>
      </c>
    </row>
    <row r="73" spans="1:22" ht="21.95" hidden="1" customHeight="1" x14ac:dyDescent="0.25">
      <c r="A73" s="507" t="s">
        <v>789</v>
      </c>
      <c r="B73" s="508"/>
      <c r="C73" s="509"/>
      <c r="D73" s="510"/>
      <c r="E73" s="510"/>
      <c r="F73" s="510"/>
      <c r="G73" s="511"/>
      <c r="H73" s="219">
        <f>H71*D72</f>
        <v>12044805.840000002</v>
      </c>
      <c r="I73" s="332"/>
      <c r="J73" s="333"/>
      <c r="K73" s="310"/>
      <c r="L73" s="310"/>
      <c r="M73" s="332"/>
      <c r="N73" s="333"/>
      <c r="O73" s="271"/>
      <c r="P73" s="219">
        <f>P71*D72</f>
        <v>25206451.02</v>
      </c>
      <c r="Q73" s="346">
        <f t="shared" si="22"/>
        <v>12044805.840000002</v>
      </c>
      <c r="R73" s="346">
        <f t="shared" si="23"/>
        <v>13161645.179999998</v>
      </c>
      <c r="V73" s="329">
        <f t="shared" si="21"/>
        <v>0</v>
      </c>
    </row>
    <row r="74" spans="1:22" ht="21.95" hidden="1" customHeight="1" x14ac:dyDescent="0.25">
      <c r="A74" s="512" t="s">
        <v>790</v>
      </c>
      <c r="B74" s="513"/>
      <c r="C74" s="514"/>
      <c r="D74" s="515"/>
      <c r="E74" s="515"/>
      <c r="F74" s="515"/>
      <c r="G74" s="516"/>
      <c r="H74" s="205">
        <f>F72-H73</f>
        <v>17970788.159999996</v>
      </c>
      <c r="I74" s="334"/>
      <c r="J74" s="335"/>
      <c r="K74" s="307"/>
      <c r="L74" s="307"/>
      <c r="M74" s="334"/>
      <c r="N74" s="335"/>
      <c r="O74" s="260"/>
      <c r="P74" s="205">
        <f>F72-P73</f>
        <v>4809142.9800000004</v>
      </c>
      <c r="Q74" s="346">
        <f t="shared" si="22"/>
        <v>17970788.159999996</v>
      </c>
      <c r="R74" s="346">
        <f t="shared" si="23"/>
        <v>-13161645.179999996</v>
      </c>
      <c r="T74" s="157">
        <v>12044805.840000002</v>
      </c>
      <c r="V74" s="329">
        <f t="shared" si="21"/>
        <v>0</v>
      </c>
    </row>
    <row r="75" spans="1:22" ht="21.95" hidden="1" customHeight="1" thickBot="1" x14ac:dyDescent="0.3">
      <c r="A75" s="517" t="s">
        <v>791</v>
      </c>
      <c r="B75" s="518"/>
      <c r="C75" s="519"/>
      <c r="D75" s="520"/>
      <c r="E75" s="520"/>
      <c r="F75" s="520"/>
      <c r="G75" s="521"/>
      <c r="H75" s="220">
        <f>H71-H73</f>
        <v>48179223.359999999</v>
      </c>
      <c r="I75" s="336"/>
      <c r="J75" s="337"/>
      <c r="K75" s="311"/>
      <c r="L75" s="311"/>
      <c r="M75" s="336"/>
      <c r="N75" s="337"/>
      <c r="O75" s="272"/>
      <c r="P75" s="220">
        <f>P71-P73</f>
        <v>100825804.08</v>
      </c>
      <c r="Q75" s="346">
        <f t="shared" si="22"/>
        <v>48179223.359999999</v>
      </c>
      <c r="R75" s="346">
        <f t="shared" si="23"/>
        <v>52646580.719999999</v>
      </c>
      <c r="T75" s="157">
        <v>17970788.159999996</v>
      </c>
      <c r="V75" s="329">
        <f t="shared" si="21"/>
        <v>0</v>
      </c>
    </row>
    <row r="76" spans="1:22" ht="18.75" customHeight="1" x14ac:dyDescent="0.25">
      <c r="A76" s="502" t="s">
        <v>792</v>
      </c>
      <c r="B76" s="503"/>
      <c r="C76" s="221"/>
      <c r="D76" s="249"/>
      <c r="E76" s="204"/>
      <c r="F76" s="222"/>
      <c r="G76" s="260"/>
      <c r="H76" s="223">
        <v>0</v>
      </c>
      <c r="I76" s="338"/>
      <c r="J76" s="339">
        <v>0</v>
      </c>
      <c r="K76" s="312"/>
      <c r="L76" s="312">
        <v>0</v>
      </c>
      <c r="M76" s="338"/>
      <c r="N76" s="339">
        <v>0</v>
      </c>
      <c r="O76" s="260"/>
      <c r="P76" s="312">
        <v>0</v>
      </c>
      <c r="Q76" s="346">
        <f t="shared" si="22"/>
        <v>0</v>
      </c>
      <c r="R76" s="346">
        <f t="shared" si="23"/>
        <v>0</v>
      </c>
      <c r="T76" s="157">
        <v>48179223.359999999</v>
      </c>
      <c r="V76" s="329">
        <f t="shared" si="21"/>
        <v>0</v>
      </c>
    </row>
    <row r="77" spans="1:22" ht="28.5" customHeight="1" x14ac:dyDescent="0.25">
      <c r="A77" s="224"/>
      <c r="H77" s="225"/>
      <c r="I77" s="225"/>
      <c r="J77" s="225"/>
      <c r="K77" s="225"/>
      <c r="L77" s="225"/>
      <c r="M77" s="225"/>
      <c r="N77" s="225"/>
      <c r="P77" s="226"/>
    </row>
    <row r="78" spans="1:22" ht="15.75" customHeight="1" x14ac:dyDescent="0.25">
      <c r="A78" s="224"/>
      <c r="B78" s="227"/>
      <c r="E78" s="227"/>
      <c r="F78" s="227"/>
      <c r="G78" s="263"/>
      <c r="H78" s="227"/>
      <c r="I78" s="227"/>
      <c r="J78" s="227"/>
      <c r="K78" s="227"/>
      <c r="L78" s="227"/>
      <c r="M78" s="227"/>
      <c r="N78" s="227"/>
      <c r="O78" s="263"/>
      <c r="P78" s="226"/>
    </row>
    <row r="79" spans="1:22" ht="15.75" customHeight="1" x14ac:dyDescent="0.25">
      <c r="A79" s="224"/>
      <c r="B79" s="228" t="s">
        <v>800</v>
      </c>
      <c r="C79" s="230"/>
      <c r="D79" s="251"/>
      <c r="E79" s="506" t="s">
        <v>794</v>
      </c>
      <c r="F79" s="506"/>
      <c r="G79" s="506" t="s">
        <v>795</v>
      </c>
      <c r="H79" s="506"/>
      <c r="I79" s="506"/>
      <c r="J79" s="506"/>
      <c r="K79" s="506"/>
      <c r="L79" s="506"/>
      <c r="M79" s="506"/>
      <c r="N79" s="506"/>
      <c r="O79" s="506"/>
      <c r="P79" s="229"/>
    </row>
    <row r="80" spans="1:22" x14ac:dyDescent="0.25">
      <c r="A80" s="224"/>
      <c r="B80" s="230" t="s">
        <v>801</v>
      </c>
      <c r="C80" s="230"/>
      <c r="D80" s="251"/>
      <c r="E80" s="506" t="s">
        <v>797</v>
      </c>
      <c r="F80" s="506"/>
      <c r="G80" s="506" t="s">
        <v>798</v>
      </c>
      <c r="H80" s="506"/>
      <c r="I80" s="506"/>
      <c r="J80" s="506"/>
      <c r="K80" s="506"/>
      <c r="L80" s="506"/>
      <c r="M80" s="506"/>
      <c r="N80" s="506"/>
      <c r="O80" s="506"/>
      <c r="P80" s="229"/>
    </row>
    <row r="81" spans="1:20" ht="12.75" thickBot="1" x14ac:dyDescent="0.3">
      <c r="A81" s="231"/>
      <c r="B81" s="232" t="s">
        <v>796</v>
      </c>
      <c r="C81" s="232"/>
      <c r="D81" s="252"/>
      <c r="E81" s="233"/>
      <c r="F81" s="233"/>
      <c r="G81" s="501"/>
      <c r="H81" s="501"/>
      <c r="I81" s="501"/>
      <c r="J81" s="501"/>
      <c r="K81" s="501"/>
      <c r="L81" s="501"/>
      <c r="M81" s="501"/>
      <c r="N81" s="501"/>
      <c r="O81" s="501"/>
      <c r="P81" s="234"/>
    </row>
    <row r="82" spans="1:20" x14ac:dyDescent="0.25">
      <c r="A82" s="235"/>
    </row>
    <row r="84" spans="1:20" ht="28.5" customHeight="1" x14ac:dyDescent="0.25">
      <c r="F84" s="346">
        <f>+F67-J67</f>
        <v>79520</v>
      </c>
      <c r="H84" s="157">
        <f>88*3.4*0.2</f>
        <v>59.84</v>
      </c>
      <c r="J84" s="344">
        <f>SUM(J12:J65)</f>
        <v>222178694</v>
      </c>
      <c r="K84" s="344"/>
      <c r="L84" s="344">
        <f>SUM(L12:L65)</f>
        <v>97493668</v>
      </c>
      <c r="M84" s="344"/>
      <c r="N84" s="344"/>
      <c r="O84" s="344"/>
      <c r="P84" s="344">
        <f>SUM(P12:P65)</f>
        <v>186714452</v>
      </c>
    </row>
    <row r="85" spans="1:20" x14ac:dyDescent="0.25">
      <c r="F85" s="236"/>
      <c r="J85" s="344">
        <f>+J84/2</f>
        <v>111089347</v>
      </c>
      <c r="K85" s="344"/>
      <c r="L85" s="344">
        <f t="shared" ref="L85:P85" si="24">+L84/2</f>
        <v>48746834</v>
      </c>
      <c r="M85" s="344"/>
      <c r="N85" s="344"/>
      <c r="O85" s="344"/>
      <c r="P85" s="344">
        <f t="shared" si="24"/>
        <v>93357226</v>
      </c>
    </row>
    <row r="86" spans="1:20" ht="16.5" customHeight="1" x14ac:dyDescent="0.25">
      <c r="F86" s="344"/>
      <c r="H86" s="238"/>
      <c r="I86" s="238"/>
      <c r="J86" s="344">
        <f>+J67-J85</f>
        <v>0</v>
      </c>
      <c r="K86" s="344"/>
      <c r="L86" s="344">
        <f>+L67-L85</f>
        <v>0</v>
      </c>
      <c r="M86" s="344"/>
      <c r="N86" s="344"/>
      <c r="O86" s="344"/>
      <c r="P86" s="344">
        <f>+P67-P85</f>
        <v>0</v>
      </c>
    </row>
    <row r="87" spans="1:20" ht="14.25" customHeight="1" x14ac:dyDescent="0.25">
      <c r="H87" s="238"/>
      <c r="I87" s="238"/>
      <c r="J87" s="344"/>
      <c r="K87" s="344"/>
      <c r="L87" s="344"/>
      <c r="M87" s="344"/>
      <c r="N87" s="344"/>
      <c r="O87" s="344"/>
      <c r="P87" s="344"/>
    </row>
    <row r="88" spans="1:20" ht="15.75" customHeight="1" x14ac:dyDescent="0.25">
      <c r="H88" s="238"/>
      <c r="I88" s="238"/>
      <c r="J88" s="238"/>
      <c r="K88" s="238"/>
      <c r="L88" s="238"/>
      <c r="M88" s="238"/>
      <c r="N88" s="238"/>
    </row>
    <row r="89" spans="1:20" x14ac:dyDescent="0.25">
      <c r="H89" s="238"/>
      <c r="I89" s="238"/>
      <c r="J89" s="238"/>
      <c r="K89" s="238"/>
      <c r="L89" s="238"/>
      <c r="M89" s="238"/>
      <c r="N89" s="238"/>
    </row>
    <row r="90" spans="1:20" x14ac:dyDescent="0.25">
      <c r="H90" s="238"/>
      <c r="I90" s="238"/>
      <c r="J90" s="238"/>
      <c r="K90" s="238"/>
      <c r="L90" s="238"/>
      <c r="M90" s="238"/>
      <c r="N90" s="238"/>
    </row>
    <row r="91" spans="1:20" x14ac:dyDescent="0.25">
      <c r="H91" s="238"/>
      <c r="I91" s="238"/>
      <c r="J91" s="238"/>
      <c r="K91" s="238"/>
      <c r="L91" s="238"/>
      <c r="M91" s="238"/>
      <c r="N91" s="238"/>
    </row>
    <row r="92" spans="1:20" x14ac:dyDescent="0.25">
      <c r="H92" s="238"/>
      <c r="I92" s="238"/>
      <c r="J92" s="238"/>
      <c r="K92" s="238"/>
      <c r="L92" s="238"/>
      <c r="M92" s="238"/>
      <c r="N92" s="238"/>
    </row>
    <row r="94" spans="1:20" x14ac:dyDescent="0.25">
      <c r="H94" s="238"/>
      <c r="I94" s="238"/>
      <c r="J94" s="238"/>
      <c r="K94" s="238"/>
      <c r="L94" s="238"/>
      <c r="M94" s="238"/>
      <c r="N94" s="238"/>
    </row>
    <row r="96" spans="1:20" s="250" customFormat="1" ht="27" customHeight="1" x14ac:dyDescent="0.25">
      <c r="A96" s="157"/>
      <c r="B96" s="157"/>
      <c r="C96" s="274"/>
      <c r="D96" s="276"/>
      <c r="E96" s="157"/>
      <c r="F96" s="157"/>
      <c r="H96" s="239"/>
      <c r="I96" s="239"/>
      <c r="J96" s="239"/>
      <c r="K96" s="239"/>
      <c r="L96" s="239"/>
      <c r="M96" s="239"/>
      <c r="N96" s="239"/>
      <c r="P96" s="157"/>
      <c r="Q96" s="157"/>
      <c r="R96" s="157"/>
      <c r="S96" s="157"/>
      <c r="T96" s="157"/>
    </row>
    <row r="98" spans="1:20" s="250" customFormat="1" x14ac:dyDescent="0.25">
      <c r="A98" s="157"/>
      <c r="B98" s="157"/>
      <c r="C98" s="274"/>
      <c r="D98" s="276"/>
      <c r="E98" s="157"/>
      <c r="F98" s="157"/>
      <c r="H98" s="238"/>
      <c r="I98" s="238"/>
      <c r="J98" s="238"/>
      <c r="K98" s="238"/>
      <c r="L98" s="238"/>
      <c r="M98" s="238"/>
      <c r="N98" s="238"/>
      <c r="P98" s="157"/>
      <c r="Q98" s="157"/>
      <c r="R98" s="157"/>
      <c r="S98" s="157"/>
      <c r="T98" s="157"/>
    </row>
  </sheetData>
  <mergeCells count="43">
    <mergeCell ref="G81:O81"/>
    <mergeCell ref="M9:N9"/>
    <mergeCell ref="J6:N6"/>
    <mergeCell ref="J7:N7"/>
    <mergeCell ref="J5:N5"/>
    <mergeCell ref="O5:P5"/>
    <mergeCell ref="G6:I6"/>
    <mergeCell ref="O6:P7"/>
    <mergeCell ref="G7:I7"/>
    <mergeCell ref="A76:B76"/>
    <mergeCell ref="E79:F79"/>
    <mergeCell ref="G79:O79"/>
    <mergeCell ref="E80:F80"/>
    <mergeCell ref="G80:O80"/>
    <mergeCell ref="A73:B73"/>
    <mergeCell ref="C73:G73"/>
    <mergeCell ref="A74:B74"/>
    <mergeCell ref="C74:G74"/>
    <mergeCell ref="A75:B75"/>
    <mergeCell ref="C75:G75"/>
    <mergeCell ref="A72:B72"/>
    <mergeCell ref="A8:P8"/>
    <mergeCell ref="A9:A10"/>
    <mergeCell ref="B9:B10"/>
    <mergeCell ref="C9:F9"/>
    <mergeCell ref="G9:H9"/>
    <mergeCell ref="I9:J9"/>
    <mergeCell ref="K9:L9"/>
    <mergeCell ref="O9:P9"/>
    <mergeCell ref="A67:B67"/>
    <mergeCell ref="A68:B68"/>
    <mergeCell ref="A69:B69"/>
    <mergeCell ref="A70:B70"/>
    <mergeCell ref="A71:B71"/>
    <mergeCell ref="A1:K2"/>
    <mergeCell ref="L1:P1"/>
    <mergeCell ref="L2:P2"/>
    <mergeCell ref="A3:B7"/>
    <mergeCell ref="C3:F7"/>
    <mergeCell ref="G3:K3"/>
    <mergeCell ref="L3:P3"/>
    <mergeCell ref="G4:P4"/>
    <mergeCell ref="G5:I5"/>
  </mergeCells>
  <conditionalFormatting sqref="G12:G64">
    <cfRule type="cellIs" dxfId="39" priority="12" stopIfTrue="1" operator="equal">
      <formula>"Columna1"</formula>
    </cfRule>
  </conditionalFormatting>
  <conditionalFormatting sqref="I12:I64">
    <cfRule type="cellIs" dxfId="38" priority="8" stopIfTrue="1" operator="equal">
      <formula>"Columna1"</formula>
    </cfRule>
  </conditionalFormatting>
  <conditionalFormatting sqref="K12:K54">
    <cfRule type="cellIs" dxfId="37" priority="7" stopIfTrue="1" operator="equal">
      <formula>"Columna1"</formula>
    </cfRule>
  </conditionalFormatting>
  <conditionalFormatting sqref="K56:K64">
    <cfRule type="cellIs" dxfId="36" priority="5" stopIfTrue="1" operator="equal">
      <formula>"Columna1"</formula>
    </cfRule>
  </conditionalFormatting>
  <conditionalFormatting sqref="M12:M64">
    <cfRule type="cellIs" dxfId="35" priority="1" stopIfTrue="1" operator="equal">
      <formula>"Columna1"</formula>
    </cfRule>
  </conditionalFormatting>
  <conditionalFormatting sqref="O13:O65">
    <cfRule type="cellIs" dxfId="34" priority="11" stopIfTrue="1" operator="equal">
      <formula>"Columna1"</formula>
    </cfRule>
  </conditionalFormatting>
  <printOptions horizontalCentered="1"/>
  <pageMargins left="0.55118110236220474" right="0.31496062992125984" top="0.51181102362204722" bottom="0.39370078740157483" header="0" footer="0"/>
  <pageSetup scale="55"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98"/>
  <sheetViews>
    <sheetView view="pageBreakPreview" topLeftCell="B31" zoomScale="85" zoomScaleNormal="90" zoomScaleSheetLayoutView="85" workbookViewId="0">
      <selection activeCell="H48" sqref="H48"/>
    </sheetView>
  </sheetViews>
  <sheetFormatPr baseColWidth="10" defaultColWidth="11.5703125" defaultRowHeight="12" x14ac:dyDescent="0.25"/>
  <cols>
    <col min="1" max="1" width="6.28515625" style="157" bestFit="1" customWidth="1"/>
    <col min="2" max="2" width="48.5703125" style="157" customWidth="1"/>
    <col min="3" max="3" width="7.140625" style="274" customWidth="1"/>
    <col min="4" max="4" width="8.7109375" style="276" customWidth="1"/>
    <col min="5" max="5" width="14" style="157" customWidth="1"/>
    <col min="6" max="6" width="21.28515625" style="157" customWidth="1"/>
    <col min="7" max="7" width="8.5703125" style="250" customWidth="1"/>
    <col min="8" max="8" width="20.85546875" style="157" customWidth="1"/>
    <col min="9" max="9" width="9.28515625" style="157" customWidth="1"/>
    <col min="10" max="10" width="20.140625" style="157" customWidth="1"/>
    <col min="11" max="11" width="7.28515625" style="157" bestFit="1" customWidth="1"/>
    <col min="12" max="12" width="20.140625" style="157" customWidth="1"/>
    <col min="13" max="13" width="10" style="250" customWidth="1"/>
    <col min="14" max="14" width="20.42578125" style="157" customWidth="1"/>
    <col min="15" max="15" width="25.7109375" style="157" customWidth="1"/>
    <col min="16" max="16384" width="11.5703125" style="157"/>
  </cols>
  <sheetData>
    <row r="1" spans="1:20" ht="29.45" customHeight="1" thickBot="1" x14ac:dyDescent="0.3">
      <c r="A1" s="540" t="s">
        <v>843</v>
      </c>
      <c r="B1" s="593"/>
      <c r="C1" s="593"/>
      <c r="D1" s="593"/>
      <c r="E1" s="593"/>
      <c r="F1" s="593"/>
      <c r="G1" s="593"/>
      <c r="H1" s="593"/>
      <c r="I1" s="593"/>
      <c r="J1" s="593"/>
      <c r="K1" s="593"/>
      <c r="L1" s="590" t="s">
        <v>763</v>
      </c>
      <c r="M1" s="591"/>
      <c r="N1" s="592"/>
      <c r="Q1" s="157" t="s">
        <v>763</v>
      </c>
      <c r="R1" s="157" t="s">
        <v>763</v>
      </c>
    </row>
    <row r="2" spans="1:20" ht="19.5" customHeight="1" thickBot="1" x14ac:dyDescent="0.3">
      <c r="A2" s="595"/>
      <c r="B2" s="501"/>
      <c r="C2" s="501"/>
      <c r="D2" s="501"/>
      <c r="E2" s="501"/>
      <c r="F2" s="501"/>
      <c r="G2" s="501"/>
      <c r="H2" s="501"/>
      <c r="I2" s="501"/>
      <c r="J2" s="501"/>
      <c r="K2" s="501"/>
      <c r="L2" s="590" t="s">
        <v>764</v>
      </c>
      <c r="M2" s="591"/>
      <c r="N2" s="592"/>
      <c r="Q2" s="157" t="s">
        <v>764</v>
      </c>
      <c r="R2" s="157" t="s">
        <v>764</v>
      </c>
    </row>
    <row r="3" spans="1:20" ht="39" customHeight="1" thickBot="1" x14ac:dyDescent="0.3">
      <c r="A3" s="547"/>
      <c r="B3" s="548"/>
      <c r="C3" s="552" t="s">
        <v>765</v>
      </c>
      <c r="D3" s="553"/>
      <c r="E3" s="553"/>
      <c r="F3" s="554"/>
      <c r="G3" s="588" t="s">
        <v>803</v>
      </c>
      <c r="H3" s="588"/>
      <c r="I3" s="588"/>
      <c r="J3" s="588"/>
      <c r="K3" s="589"/>
      <c r="L3" s="590" t="s">
        <v>766</v>
      </c>
      <c r="M3" s="591"/>
      <c r="N3" s="592"/>
      <c r="Q3" s="157" t="s">
        <v>766</v>
      </c>
      <c r="R3" s="157" t="s">
        <v>766</v>
      </c>
    </row>
    <row r="4" spans="1:20" ht="30" customHeight="1" thickBot="1" x14ac:dyDescent="0.3">
      <c r="A4" s="549"/>
      <c r="B4" s="550"/>
      <c r="C4" s="555"/>
      <c r="D4" s="556"/>
      <c r="E4" s="556"/>
      <c r="F4" s="557"/>
      <c r="G4" s="603" t="s">
        <v>804</v>
      </c>
      <c r="H4" s="603"/>
      <c r="I4" s="603"/>
      <c r="J4" s="603"/>
      <c r="K4" s="603"/>
      <c r="L4" s="603"/>
      <c r="M4" s="603"/>
      <c r="N4" s="604"/>
    </row>
    <row r="5" spans="1:20" ht="30.6" customHeight="1" thickBot="1" x14ac:dyDescent="0.3">
      <c r="A5" s="549"/>
      <c r="B5" s="550"/>
      <c r="C5" s="555"/>
      <c r="D5" s="556"/>
      <c r="E5" s="556"/>
      <c r="F5" s="556"/>
      <c r="G5" s="605" t="s">
        <v>767</v>
      </c>
      <c r="H5" s="606"/>
      <c r="I5" s="607"/>
      <c r="J5" s="568">
        <f>+F69</f>
        <v>150077970.44999999</v>
      </c>
      <c r="K5" s="569"/>
      <c r="L5" s="570"/>
      <c r="M5" s="571" t="s">
        <v>799</v>
      </c>
      <c r="N5" s="572"/>
      <c r="O5" s="158">
        <f>J5/2</f>
        <v>75038985.224999994</v>
      </c>
      <c r="Q5" s="157" t="s">
        <v>799</v>
      </c>
    </row>
    <row r="6" spans="1:20" ht="22.5" customHeight="1" thickBot="1" x14ac:dyDescent="0.3">
      <c r="A6" s="549"/>
      <c r="B6" s="550"/>
      <c r="C6" s="555"/>
      <c r="D6" s="556"/>
      <c r="E6" s="556"/>
      <c r="F6" s="557"/>
      <c r="G6" s="605" t="s">
        <v>768</v>
      </c>
      <c r="H6" s="606"/>
      <c r="I6" s="607"/>
      <c r="J6" s="585">
        <v>0</v>
      </c>
      <c r="K6" s="610"/>
      <c r="L6" s="586"/>
      <c r="M6" s="576">
        <f>N69/F69</f>
        <v>0.83977851460877084</v>
      </c>
      <c r="N6" s="577"/>
      <c r="O6" s="157">
        <v>0.40128493888491285</v>
      </c>
      <c r="Q6" s="157">
        <v>0.40128493888491285</v>
      </c>
    </row>
    <row r="7" spans="1:20" ht="22.5" customHeight="1" thickBot="1" x14ac:dyDescent="0.3">
      <c r="A7" s="542"/>
      <c r="B7" s="551"/>
      <c r="C7" s="558"/>
      <c r="D7" s="559"/>
      <c r="E7" s="559"/>
      <c r="F7" s="560"/>
      <c r="G7" s="608" t="s">
        <v>769</v>
      </c>
      <c r="H7" s="609"/>
      <c r="I7" s="530"/>
      <c r="J7" s="582">
        <f>+J5+J6</f>
        <v>150077970.44999999</v>
      </c>
      <c r="K7" s="583"/>
      <c r="L7" s="584"/>
      <c r="M7" s="578"/>
      <c r="N7" s="579"/>
      <c r="O7" s="326">
        <f>+ROUND(O6*100,2)</f>
        <v>40.130000000000003</v>
      </c>
    </row>
    <row r="8" spans="1:20" ht="12.75" thickBot="1" x14ac:dyDescent="0.3">
      <c r="A8" s="524"/>
      <c r="B8" s="525"/>
      <c r="C8" s="525"/>
      <c r="D8" s="525"/>
      <c r="E8" s="525"/>
      <c r="F8" s="525"/>
      <c r="G8" s="525"/>
      <c r="H8" s="525"/>
      <c r="I8" s="525"/>
      <c r="J8" s="525"/>
      <c r="K8" s="525"/>
      <c r="L8" s="525"/>
      <c r="M8" s="525"/>
      <c r="N8" s="526"/>
    </row>
    <row r="9" spans="1:20" ht="63.6" customHeight="1" x14ac:dyDescent="0.25">
      <c r="A9" s="527" t="s">
        <v>647</v>
      </c>
      <c r="B9" s="529" t="s">
        <v>498</v>
      </c>
      <c r="C9" s="531" t="s">
        <v>760</v>
      </c>
      <c r="D9" s="532"/>
      <c r="E9" s="532"/>
      <c r="F9" s="533"/>
      <c r="G9" s="536" t="s">
        <v>831</v>
      </c>
      <c r="H9" s="537"/>
      <c r="I9" s="534" t="s">
        <v>770</v>
      </c>
      <c r="J9" s="535"/>
      <c r="K9" s="536" t="s">
        <v>832</v>
      </c>
      <c r="L9" s="537"/>
      <c r="M9" s="536" t="s">
        <v>771</v>
      </c>
      <c r="N9" s="537"/>
      <c r="Q9" s="157" t="s">
        <v>771</v>
      </c>
    </row>
    <row r="10" spans="1:20" ht="34.15" customHeight="1" thickBot="1" x14ac:dyDescent="0.3">
      <c r="A10" s="528"/>
      <c r="B10" s="530"/>
      <c r="C10" s="159" t="s">
        <v>241</v>
      </c>
      <c r="D10" s="242" t="s">
        <v>772</v>
      </c>
      <c r="E10" s="160" t="s">
        <v>773</v>
      </c>
      <c r="F10" s="161" t="s">
        <v>649</v>
      </c>
      <c r="G10" s="253" t="s">
        <v>772</v>
      </c>
      <c r="H10" s="161" t="s">
        <v>649</v>
      </c>
      <c r="I10" s="253" t="s">
        <v>772</v>
      </c>
      <c r="J10" s="161" t="s">
        <v>649</v>
      </c>
      <c r="K10" s="253" t="s">
        <v>772</v>
      </c>
      <c r="L10" s="161" t="s">
        <v>649</v>
      </c>
      <c r="M10" s="253" t="s">
        <v>772</v>
      </c>
      <c r="N10" s="161" t="s">
        <v>649</v>
      </c>
      <c r="Q10" s="157" t="s">
        <v>772</v>
      </c>
      <c r="R10" s="157" t="s">
        <v>649</v>
      </c>
    </row>
    <row r="11" spans="1:20" ht="12.75" thickBot="1" x14ac:dyDescent="0.3">
      <c r="A11" s="313"/>
      <c r="B11" s="314"/>
      <c r="C11" s="314"/>
      <c r="D11" s="314"/>
      <c r="E11" s="314"/>
      <c r="F11" s="314"/>
      <c r="G11" s="314"/>
      <c r="H11" s="314"/>
      <c r="I11" s="314"/>
      <c r="J11" s="314"/>
      <c r="K11" s="314"/>
      <c r="L11" s="314"/>
      <c r="M11" s="314"/>
      <c r="N11" s="315"/>
    </row>
    <row r="12" spans="1:20" s="170" customFormat="1" ht="20.100000000000001" customHeight="1" x14ac:dyDescent="0.25">
      <c r="A12" s="162">
        <v>1</v>
      </c>
      <c r="B12" s="163" t="s">
        <v>53</v>
      </c>
      <c r="C12" s="164"/>
      <c r="D12" s="243"/>
      <c r="E12" s="165" t="s">
        <v>650</v>
      </c>
      <c r="F12" s="166"/>
      <c r="G12" s="265"/>
      <c r="H12" s="168"/>
      <c r="I12" s="265"/>
      <c r="J12" s="168"/>
      <c r="K12" s="265"/>
      <c r="L12" s="168"/>
      <c r="M12" s="254"/>
      <c r="N12" s="169"/>
    </row>
    <row r="13" spans="1:20" s="176" customFormat="1" ht="20.100000000000001" customHeight="1" x14ac:dyDescent="0.2">
      <c r="A13" s="171">
        <v>1.01</v>
      </c>
      <c r="B13" s="172" t="s">
        <v>651</v>
      </c>
      <c r="C13" s="173" t="s">
        <v>216</v>
      </c>
      <c r="D13" s="244">
        <v>46.44</v>
      </c>
      <c r="E13" s="174">
        <v>2800</v>
      </c>
      <c r="F13" s="175">
        <f>ROUND(D13*E13,0)</f>
        <v>130032</v>
      </c>
      <c r="G13" s="266">
        <f>+BALANCE!G6</f>
        <v>26.26</v>
      </c>
      <c r="H13" s="175">
        <f>ROUND(E13*G13,0)</f>
        <v>73528</v>
      </c>
      <c r="I13" s="266">
        <v>49.49</v>
      </c>
      <c r="J13" s="175">
        <f>ROUND(E13*I13,0)</f>
        <v>138572</v>
      </c>
      <c r="K13" s="266">
        <f>1.01*19</f>
        <v>19.190000000000001</v>
      </c>
      <c r="L13" s="175">
        <f>ROUND(E13*K13,0)</f>
        <v>53732</v>
      </c>
      <c r="M13" s="266">
        <f>+K13+G13</f>
        <v>45.45</v>
      </c>
      <c r="N13" s="175">
        <f>ROUND(E13*M13,0)</f>
        <v>127260</v>
      </c>
      <c r="O13" s="329">
        <f>+I13-M13</f>
        <v>4.0399999999999991</v>
      </c>
      <c r="Q13" s="176">
        <v>26.26</v>
      </c>
      <c r="R13" s="176">
        <v>73528</v>
      </c>
      <c r="T13" s="329">
        <f>+Q13-G13</f>
        <v>0</v>
      </c>
    </row>
    <row r="14" spans="1:20" s="176" customFormat="1" ht="20.100000000000001" customHeight="1" x14ac:dyDescent="0.2">
      <c r="A14" s="171">
        <v>1.21</v>
      </c>
      <c r="B14" s="177" t="s">
        <v>652</v>
      </c>
      <c r="C14" s="173" t="s">
        <v>216</v>
      </c>
      <c r="D14" s="244">
        <v>54.75</v>
      </c>
      <c r="E14" s="174">
        <v>3600</v>
      </c>
      <c r="F14" s="175">
        <f>ROUND(D14*E14,0)</f>
        <v>197100</v>
      </c>
      <c r="G14" s="266">
        <f>+BALANCE!G7</f>
        <v>30.939999999999998</v>
      </c>
      <c r="H14" s="175">
        <f>ROUND(E14*G14,0)</f>
        <v>111384</v>
      </c>
      <c r="I14" s="266">
        <v>58.309999999999995</v>
      </c>
      <c r="J14" s="175">
        <f>ROUND(E14*I14,0)</f>
        <v>209916</v>
      </c>
      <c r="K14" s="266">
        <f>1.19*19</f>
        <v>22.61</v>
      </c>
      <c r="L14" s="175">
        <f>ROUND(E14*K14,0)</f>
        <v>81396</v>
      </c>
      <c r="M14" s="266">
        <f t="shared" ref="M14:M62" si="0">+K14+G14</f>
        <v>53.55</v>
      </c>
      <c r="N14" s="175">
        <f>ROUND(E14*M14,0)</f>
        <v>192780</v>
      </c>
      <c r="O14" s="329">
        <f t="shared" ref="O14:O61" si="1">+I14-M14</f>
        <v>4.759999999999998</v>
      </c>
      <c r="Q14" s="176">
        <v>30.939999999999998</v>
      </c>
      <c r="R14" s="176">
        <v>111384</v>
      </c>
      <c r="T14" s="329">
        <f t="shared" ref="T14:T74" si="2">+Q14-G14</f>
        <v>0</v>
      </c>
    </row>
    <row r="15" spans="1:20" s="176" customFormat="1" ht="20.100000000000001" customHeight="1" x14ac:dyDescent="0.2">
      <c r="A15" s="171">
        <v>1.23</v>
      </c>
      <c r="B15" s="177" t="s">
        <v>653</v>
      </c>
      <c r="C15" s="173" t="s">
        <v>216</v>
      </c>
      <c r="D15" s="244">
        <v>18.149999999999999</v>
      </c>
      <c r="E15" s="174">
        <v>19700</v>
      </c>
      <c r="F15" s="175">
        <f>ROUND(D15*E15,0)</f>
        <v>357555</v>
      </c>
      <c r="G15" s="266">
        <f>+BALANCE!G8</f>
        <v>3</v>
      </c>
      <c r="H15" s="175">
        <f>ROUND(E15*G15,0)</f>
        <v>59100</v>
      </c>
      <c r="I15" s="266">
        <v>18.149999999999999</v>
      </c>
      <c r="J15" s="175">
        <f>ROUND(E15*I15,0)</f>
        <v>357555</v>
      </c>
      <c r="K15" s="266">
        <v>8.5</v>
      </c>
      <c r="L15" s="175">
        <f>ROUND(E15*K15,0)</f>
        <v>167450</v>
      </c>
      <c r="M15" s="266">
        <f t="shared" si="0"/>
        <v>11.5</v>
      </c>
      <c r="N15" s="175">
        <f>ROUND(E15*M15,0)</f>
        <v>226550</v>
      </c>
      <c r="O15" s="329">
        <f t="shared" si="1"/>
        <v>6.6499999999999986</v>
      </c>
      <c r="Q15" s="176">
        <v>3</v>
      </c>
      <c r="R15" s="176">
        <v>59100</v>
      </c>
      <c r="T15" s="329">
        <f t="shared" si="2"/>
        <v>0</v>
      </c>
    </row>
    <row r="16" spans="1:20" s="176" customFormat="1" ht="20.100000000000001" customHeight="1" x14ac:dyDescent="0.2">
      <c r="A16" s="171">
        <v>1.04</v>
      </c>
      <c r="B16" s="177" t="s">
        <v>654</v>
      </c>
      <c r="C16" s="173" t="s">
        <v>216</v>
      </c>
      <c r="D16" s="244">
        <v>18.149999999999999</v>
      </c>
      <c r="E16" s="174">
        <v>67400</v>
      </c>
      <c r="F16" s="175">
        <f>ROUND(D16*E16,0)</f>
        <v>1223310</v>
      </c>
      <c r="G16" s="266">
        <f>+BALANCE!G9</f>
        <v>2.5</v>
      </c>
      <c r="H16" s="175">
        <f>ROUND(E16*G16,0)</f>
        <v>168500</v>
      </c>
      <c r="I16" s="266">
        <v>18.149999999999999</v>
      </c>
      <c r="J16" s="175">
        <f>ROUND(E16*I16,0)</f>
        <v>1223310</v>
      </c>
      <c r="K16" s="266">
        <v>7.8</v>
      </c>
      <c r="L16" s="175">
        <f>ROUND(E16*K16,0)</f>
        <v>525720</v>
      </c>
      <c r="M16" s="266">
        <f t="shared" si="0"/>
        <v>10.3</v>
      </c>
      <c r="N16" s="175">
        <f>ROUND(E16*M16,0)</f>
        <v>694220</v>
      </c>
      <c r="O16" s="329">
        <f t="shared" si="1"/>
        <v>7.8499999999999979</v>
      </c>
      <c r="Q16" s="176">
        <v>2.5</v>
      </c>
      <c r="R16" s="176">
        <v>168500</v>
      </c>
      <c r="T16" s="329">
        <f t="shared" si="2"/>
        <v>0</v>
      </c>
    </row>
    <row r="17" spans="1:20" s="181" customFormat="1" ht="20.100000000000001" customHeight="1" x14ac:dyDescent="0.25">
      <c r="A17" s="178"/>
      <c r="B17" s="179" t="s">
        <v>655</v>
      </c>
      <c r="C17" s="186" t="s">
        <v>650</v>
      </c>
      <c r="D17" s="188" t="s">
        <v>650</v>
      </c>
      <c r="E17" s="179"/>
      <c r="F17" s="180">
        <f>ROUND((SUM(F13:F16)),0)</f>
        <v>1907997</v>
      </c>
      <c r="G17" s="266" t="str">
        <f>+BALANCE!G10</f>
        <v xml:space="preserve"> </v>
      </c>
      <c r="H17" s="180">
        <f>SUM(H13:H16)</f>
        <v>412512</v>
      </c>
      <c r="I17" s="266"/>
      <c r="J17" s="180">
        <f>SUM(J13:J16)</f>
        <v>1929353</v>
      </c>
      <c r="K17" s="266"/>
      <c r="L17" s="180">
        <f>SUM(L13:L16)</f>
        <v>828298</v>
      </c>
      <c r="M17" s="266"/>
      <c r="N17" s="180">
        <f>SUM(N13:N16)</f>
        <v>1240810</v>
      </c>
      <c r="O17" s="329">
        <f t="shared" si="1"/>
        <v>0</v>
      </c>
      <c r="Q17" s="181" t="s">
        <v>650</v>
      </c>
      <c r="R17" s="181">
        <v>412512</v>
      </c>
      <c r="T17" s="329" t="e">
        <f t="shared" si="2"/>
        <v>#VALUE!</v>
      </c>
    </row>
    <row r="18" spans="1:20" s="181" customFormat="1" ht="20.100000000000001" customHeight="1" x14ac:dyDescent="0.25">
      <c r="A18" s="178">
        <v>2</v>
      </c>
      <c r="B18" s="179" t="s">
        <v>656</v>
      </c>
      <c r="C18" s="186"/>
      <c r="D18" s="188"/>
      <c r="E18" s="179"/>
      <c r="F18" s="182"/>
      <c r="G18" s="266"/>
      <c r="H18" s="182"/>
      <c r="I18" s="266"/>
      <c r="J18" s="182"/>
      <c r="K18" s="266"/>
      <c r="L18" s="182"/>
      <c r="M18" s="266"/>
      <c r="N18" s="182"/>
      <c r="O18" s="329">
        <f t="shared" si="1"/>
        <v>0</v>
      </c>
      <c r="T18" s="329">
        <f t="shared" si="2"/>
        <v>0</v>
      </c>
    </row>
    <row r="19" spans="1:20" ht="24" customHeight="1" x14ac:dyDescent="0.25">
      <c r="A19" s="171">
        <v>2.0099999999999998</v>
      </c>
      <c r="B19" s="240" t="s">
        <v>657</v>
      </c>
      <c r="C19" s="241" t="s">
        <v>172</v>
      </c>
      <c r="D19" s="195">
        <v>41.26</v>
      </c>
      <c r="E19" s="240">
        <v>27000</v>
      </c>
      <c r="F19" s="175">
        <f t="shared" ref="F19:F20" si="3">ROUND(D19*E19,0)</f>
        <v>1114020</v>
      </c>
      <c r="G19" s="266">
        <f>+BALANCE!G12</f>
        <v>17.739999999999998</v>
      </c>
      <c r="H19" s="175">
        <f>ROUND(E19*G19,0)</f>
        <v>478980</v>
      </c>
      <c r="I19" s="266">
        <v>44.1</v>
      </c>
      <c r="J19" s="175">
        <f>ROUND(E19*I19,0)</f>
        <v>1190700</v>
      </c>
      <c r="K19" s="266">
        <v>13.5</v>
      </c>
      <c r="L19" s="175">
        <f>ROUND(E19*K19,0)</f>
        <v>364500</v>
      </c>
      <c r="M19" s="266">
        <f t="shared" si="0"/>
        <v>31.24</v>
      </c>
      <c r="N19" s="175">
        <f>ROUND(E19*M19,0)</f>
        <v>843480</v>
      </c>
      <c r="O19" s="329">
        <f t="shared" si="1"/>
        <v>12.860000000000003</v>
      </c>
      <c r="Q19" s="157">
        <v>17.739999999999998</v>
      </c>
      <c r="R19" s="157">
        <v>478980</v>
      </c>
      <c r="T19" s="329">
        <f t="shared" si="2"/>
        <v>0</v>
      </c>
    </row>
    <row r="20" spans="1:20" ht="20.100000000000001" customHeight="1" x14ac:dyDescent="0.25">
      <c r="A20" s="171">
        <v>2.02</v>
      </c>
      <c r="B20" s="240" t="s">
        <v>658</v>
      </c>
      <c r="C20" s="241" t="s">
        <v>172</v>
      </c>
      <c r="D20" s="195">
        <v>15</v>
      </c>
      <c r="E20" s="240">
        <v>29600</v>
      </c>
      <c r="F20" s="175">
        <f t="shared" si="3"/>
        <v>444000</v>
      </c>
      <c r="G20" s="266">
        <f>+BALANCE!G13</f>
        <v>6.7</v>
      </c>
      <c r="H20" s="175">
        <f>ROUND(E20*G20,0)</f>
        <v>198320</v>
      </c>
      <c r="I20" s="266">
        <v>16.8</v>
      </c>
      <c r="J20" s="175">
        <f>ROUND(E20*I20,0)</f>
        <v>497280</v>
      </c>
      <c r="K20" s="266">
        <v>4.3</v>
      </c>
      <c r="L20" s="175">
        <f>ROUND(E20*K20,0)</f>
        <v>127280</v>
      </c>
      <c r="M20" s="266">
        <f t="shared" si="0"/>
        <v>11</v>
      </c>
      <c r="N20" s="175">
        <f>ROUND(E20*M20,0)</f>
        <v>325600</v>
      </c>
      <c r="O20" s="329">
        <f t="shared" si="1"/>
        <v>5.8000000000000007</v>
      </c>
      <c r="Q20" s="157">
        <v>6.7</v>
      </c>
      <c r="R20" s="157">
        <v>198320</v>
      </c>
      <c r="T20" s="329">
        <f t="shared" si="2"/>
        <v>0</v>
      </c>
    </row>
    <row r="21" spans="1:20" ht="20.100000000000001" customHeight="1" x14ac:dyDescent="0.25">
      <c r="A21" s="171">
        <v>2.0299999999999998</v>
      </c>
      <c r="B21" s="183" t="s">
        <v>659</v>
      </c>
      <c r="C21" s="184" t="s">
        <v>172</v>
      </c>
      <c r="D21" s="245">
        <v>62.56</v>
      </c>
      <c r="E21" s="174">
        <v>43000</v>
      </c>
      <c r="F21" s="175">
        <f>ROUND(D21*E21,0)</f>
        <v>2690080</v>
      </c>
      <c r="G21" s="266">
        <f>+BALANCE!G14</f>
        <v>18</v>
      </c>
      <c r="H21" s="175">
        <f>ROUND(E21*G21,0)</f>
        <v>774000</v>
      </c>
      <c r="I21" s="266">
        <v>66.64</v>
      </c>
      <c r="J21" s="175">
        <f>ROUND(E21*I21,0)</f>
        <v>2865520</v>
      </c>
      <c r="K21" s="266">
        <v>18</v>
      </c>
      <c r="L21" s="175">
        <f>ROUND(E21*K21,0)</f>
        <v>774000</v>
      </c>
      <c r="M21" s="266">
        <f t="shared" si="0"/>
        <v>36</v>
      </c>
      <c r="N21" s="175">
        <f>ROUND(E21*M21,0)</f>
        <v>1548000</v>
      </c>
      <c r="O21" s="329">
        <f t="shared" si="1"/>
        <v>30.64</v>
      </c>
      <c r="Q21" s="157">
        <v>18</v>
      </c>
      <c r="R21" s="157">
        <v>774000</v>
      </c>
      <c r="T21" s="329">
        <f t="shared" si="2"/>
        <v>0</v>
      </c>
    </row>
    <row r="22" spans="1:20" s="181" customFormat="1" x14ac:dyDescent="0.25">
      <c r="A22" s="178"/>
      <c r="B22" s="179" t="s">
        <v>655</v>
      </c>
      <c r="C22" s="186" t="s">
        <v>650</v>
      </c>
      <c r="D22" s="188" t="s">
        <v>650</v>
      </c>
      <c r="E22" s="187"/>
      <c r="F22" s="180">
        <f>ROUND((SUM(F19:F21)),0)</f>
        <v>4248100</v>
      </c>
      <c r="G22" s="266" t="str">
        <f>+BALANCE!G15</f>
        <v xml:space="preserve"> </v>
      </c>
      <c r="H22" s="180">
        <f>SUM(H19:H21)</f>
        <v>1451300</v>
      </c>
      <c r="I22" s="266"/>
      <c r="J22" s="180">
        <f>SUM(J19:J21)</f>
        <v>4553500</v>
      </c>
      <c r="K22" s="266"/>
      <c r="L22" s="180">
        <f>SUM(L19:L21)</f>
        <v>1265780</v>
      </c>
      <c r="M22" s="266"/>
      <c r="N22" s="180">
        <f>SUM(N19:N21)</f>
        <v>2717080</v>
      </c>
      <c r="O22" s="329">
        <f t="shared" si="1"/>
        <v>0</v>
      </c>
      <c r="Q22" s="181" t="s">
        <v>650</v>
      </c>
      <c r="R22" s="181">
        <v>1451300</v>
      </c>
      <c r="T22" s="329" t="e">
        <f t="shared" si="2"/>
        <v>#VALUE!</v>
      </c>
    </row>
    <row r="23" spans="1:20" s="181" customFormat="1" ht="19.5" customHeight="1" x14ac:dyDescent="0.25">
      <c r="A23" s="178">
        <v>3</v>
      </c>
      <c r="B23" s="179" t="s">
        <v>660</v>
      </c>
      <c r="C23" s="186"/>
      <c r="D23" s="188"/>
      <c r="E23" s="187"/>
      <c r="F23" s="189"/>
      <c r="G23" s="266"/>
      <c r="H23" s="189"/>
      <c r="I23" s="266"/>
      <c r="J23" s="189"/>
      <c r="K23" s="266"/>
      <c r="L23" s="189"/>
      <c r="M23" s="266"/>
      <c r="N23" s="189"/>
      <c r="O23" s="329">
        <f t="shared" si="1"/>
        <v>0</v>
      </c>
      <c r="T23" s="329">
        <f t="shared" si="2"/>
        <v>0</v>
      </c>
    </row>
    <row r="24" spans="1:20" ht="17.25" customHeight="1" x14ac:dyDescent="0.2">
      <c r="A24" s="171">
        <v>3.01</v>
      </c>
      <c r="B24" s="177" t="s">
        <v>661</v>
      </c>
      <c r="C24" s="173" t="s">
        <v>241</v>
      </c>
      <c r="D24" s="244">
        <v>31</v>
      </c>
      <c r="E24" s="174">
        <v>331400</v>
      </c>
      <c r="F24" s="175">
        <f>ROUND(D24*E24,0)</f>
        <v>10273400</v>
      </c>
      <c r="G24" s="266">
        <f>+BALANCE!G17</f>
        <v>9</v>
      </c>
      <c r="H24" s="175">
        <f>ROUND(E24*G24,0)</f>
        <v>2982600</v>
      </c>
      <c r="I24" s="266">
        <v>17</v>
      </c>
      <c r="J24" s="175">
        <f>ROUND(E24*I24,0)</f>
        <v>5633800</v>
      </c>
      <c r="K24" s="266">
        <v>4</v>
      </c>
      <c r="L24" s="175">
        <f>ROUND(E24*K24,0)</f>
        <v>1325600</v>
      </c>
      <c r="M24" s="266">
        <f t="shared" si="0"/>
        <v>13</v>
      </c>
      <c r="N24" s="175">
        <f>ROUND(E24*M24,0)</f>
        <v>4308200</v>
      </c>
      <c r="O24" s="329">
        <f t="shared" si="1"/>
        <v>4</v>
      </c>
      <c r="Q24" s="157">
        <v>9</v>
      </c>
      <c r="R24" s="157">
        <v>2982600</v>
      </c>
      <c r="T24" s="329">
        <f t="shared" si="2"/>
        <v>0</v>
      </c>
    </row>
    <row r="25" spans="1:20" ht="27.75" customHeight="1" x14ac:dyDescent="0.2">
      <c r="A25" s="171">
        <v>3.02</v>
      </c>
      <c r="B25" s="177" t="s">
        <v>662</v>
      </c>
      <c r="C25" s="173" t="s">
        <v>241</v>
      </c>
      <c r="D25" s="244">
        <v>10</v>
      </c>
      <c r="E25" s="174">
        <v>84900</v>
      </c>
      <c r="F25" s="175">
        <f>ROUND(D25*E25,0)</f>
        <v>849000</v>
      </c>
      <c r="G25" s="266">
        <f>+BALANCE!G18</f>
        <v>10</v>
      </c>
      <c r="H25" s="175">
        <f>ROUND(E25*G25,0)</f>
        <v>849000</v>
      </c>
      <c r="I25" s="266">
        <v>32</v>
      </c>
      <c r="J25" s="175">
        <f>ROUND(E25*I25,0)</f>
        <v>2716800</v>
      </c>
      <c r="K25" s="266">
        <v>15</v>
      </c>
      <c r="L25" s="175">
        <f>ROUND(E25*K25,0)</f>
        <v>1273500</v>
      </c>
      <c r="M25" s="266">
        <f t="shared" si="0"/>
        <v>25</v>
      </c>
      <c r="N25" s="175">
        <f>ROUND(E25*M25,0)</f>
        <v>2122500</v>
      </c>
      <c r="O25" s="329">
        <f t="shared" si="1"/>
        <v>7</v>
      </c>
      <c r="Q25" s="157">
        <v>10</v>
      </c>
      <c r="R25" s="157">
        <v>849000</v>
      </c>
      <c r="T25" s="329">
        <f t="shared" si="2"/>
        <v>0</v>
      </c>
    </row>
    <row r="26" spans="1:20" ht="16.5" customHeight="1" x14ac:dyDescent="0.25">
      <c r="A26" s="171">
        <v>3.03</v>
      </c>
      <c r="B26" s="177" t="s">
        <v>663</v>
      </c>
      <c r="C26" s="185" t="s">
        <v>172</v>
      </c>
      <c r="D26" s="245">
        <v>9.3000000000000007</v>
      </c>
      <c r="E26" s="174">
        <v>581900</v>
      </c>
      <c r="F26" s="175">
        <f>ROUND(D26*E26,0)</f>
        <v>5411670</v>
      </c>
      <c r="G26" s="266">
        <f>+BALANCE!G19</f>
        <v>5.2</v>
      </c>
      <c r="H26" s="175">
        <f>ROUND(E26*G26,0)</f>
        <v>3025880</v>
      </c>
      <c r="I26" s="266">
        <v>13.3</v>
      </c>
      <c r="J26" s="175">
        <f>ROUND(E26*I26,0)</f>
        <v>7739270</v>
      </c>
      <c r="K26" s="266">
        <f>0.2*19</f>
        <v>3.8000000000000003</v>
      </c>
      <c r="L26" s="175">
        <f>ROUND(E26*K26,0)</f>
        <v>2211220</v>
      </c>
      <c r="M26" s="266">
        <f t="shared" si="0"/>
        <v>9</v>
      </c>
      <c r="N26" s="175">
        <f>ROUND(E26*M26,0)</f>
        <v>5237100</v>
      </c>
      <c r="O26" s="329">
        <f t="shared" si="1"/>
        <v>4.3000000000000007</v>
      </c>
      <c r="Q26" s="157">
        <v>5.2</v>
      </c>
      <c r="R26" s="157">
        <v>3025880</v>
      </c>
      <c r="T26" s="329">
        <f t="shared" si="2"/>
        <v>0</v>
      </c>
    </row>
    <row r="27" spans="1:20" s="181" customFormat="1" x14ac:dyDescent="0.25">
      <c r="A27" s="178"/>
      <c r="B27" s="186" t="s">
        <v>655</v>
      </c>
      <c r="C27" s="186" t="s">
        <v>650</v>
      </c>
      <c r="D27" s="188" t="s">
        <v>650</v>
      </c>
      <c r="E27" s="186"/>
      <c r="F27" s="180">
        <f>SUM(F24:F26)</f>
        <v>16534070</v>
      </c>
      <c r="G27" s="266" t="str">
        <f>+BALANCE!G20</f>
        <v xml:space="preserve"> </v>
      </c>
      <c r="H27" s="180">
        <f>SUM(H24:H26)</f>
        <v>6857480</v>
      </c>
      <c r="I27" s="266"/>
      <c r="J27" s="180">
        <f>SUM(J24:J26)</f>
        <v>16089870</v>
      </c>
      <c r="K27" s="266"/>
      <c r="L27" s="180">
        <f>SUM(L24:L26)</f>
        <v>4810320</v>
      </c>
      <c r="M27" s="266"/>
      <c r="N27" s="180">
        <f>SUM(N24:N26)</f>
        <v>11667800</v>
      </c>
      <c r="O27" s="329">
        <f t="shared" si="1"/>
        <v>0</v>
      </c>
      <c r="Q27" s="181" t="s">
        <v>650</v>
      </c>
      <c r="R27" s="181">
        <v>6857480</v>
      </c>
      <c r="T27" s="329" t="e">
        <f t="shared" si="2"/>
        <v>#VALUE!</v>
      </c>
    </row>
    <row r="28" spans="1:20" s="181" customFormat="1" ht="26.25" customHeight="1" x14ac:dyDescent="0.25">
      <c r="A28" s="178">
        <v>4</v>
      </c>
      <c r="B28" s="179" t="s">
        <v>664</v>
      </c>
      <c r="C28" s="186"/>
      <c r="D28" s="188"/>
      <c r="E28" s="187"/>
      <c r="F28" s="189"/>
      <c r="G28" s="266"/>
      <c r="H28" s="189"/>
      <c r="I28" s="266"/>
      <c r="J28" s="189"/>
      <c r="K28" s="266"/>
      <c r="L28" s="189"/>
      <c r="M28" s="266"/>
      <c r="N28" s="189"/>
      <c r="O28" s="329">
        <f t="shared" si="1"/>
        <v>0</v>
      </c>
      <c r="T28" s="329">
        <f t="shared" si="2"/>
        <v>0</v>
      </c>
    </row>
    <row r="29" spans="1:20" s="181" customFormat="1" ht="20.100000000000001" customHeight="1" x14ac:dyDescent="0.25">
      <c r="A29" s="171">
        <v>4.01</v>
      </c>
      <c r="B29" s="177" t="s">
        <v>665</v>
      </c>
      <c r="C29" s="184" t="s">
        <v>241</v>
      </c>
      <c r="D29" s="245">
        <v>7</v>
      </c>
      <c r="E29" s="174">
        <v>819400</v>
      </c>
      <c r="F29" s="175">
        <f t="shared" ref="F29:F49" si="4">ROUND(D29*E29,0)</f>
        <v>5735800</v>
      </c>
      <c r="G29" s="266">
        <f>+BALANCE!G22</f>
        <v>3</v>
      </c>
      <c r="H29" s="175">
        <f t="shared" ref="H29:H49" si="5">ROUND(E29*G29,0)</f>
        <v>2458200</v>
      </c>
      <c r="I29" s="266">
        <v>6</v>
      </c>
      <c r="J29" s="175">
        <f t="shared" ref="J29:J49" si="6">ROUND(E29*I29,0)</f>
        <v>4916400</v>
      </c>
      <c r="K29" s="266">
        <v>3</v>
      </c>
      <c r="L29" s="175">
        <f t="shared" ref="L29:L49" si="7">ROUND(E29*K29,0)</f>
        <v>2458200</v>
      </c>
      <c r="M29" s="266">
        <f t="shared" si="0"/>
        <v>6</v>
      </c>
      <c r="N29" s="175">
        <f t="shared" ref="N29:N49" si="8">ROUND(E29*M29,0)</f>
        <v>4916400</v>
      </c>
      <c r="O29" s="329">
        <f t="shared" si="1"/>
        <v>0</v>
      </c>
      <c r="Q29" s="181">
        <v>3</v>
      </c>
      <c r="R29" s="181">
        <v>2458200</v>
      </c>
      <c r="T29" s="329">
        <f t="shared" si="2"/>
        <v>0</v>
      </c>
    </row>
    <row r="30" spans="1:20" s="181" customFormat="1" ht="20.100000000000001" customHeight="1" x14ac:dyDescent="0.25">
      <c r="A30" s="171">
        <v>4.0199999999999996</v>
      </c>
      <c r="B30" s="177" t="s">
        <v>666</v>
      </c>
      <c r="C30" s="184" t="s">
        <v>241</v>
      </c>
      <c r="D30" s="245">
        <v>3</v>
      </c>
      <c r="E30" s="174">
        <v>432900</v>
      </c>
      <c r="F30" s="175">
        <f t="shared" si="4"/>
        <v>1298700</v>
      </c>
      <c r="G30" s="266">
        <f>+BALANCE!G23</f>
        <v>2</v>
      </c>
      <c r="H30" s="175">
        <f t="shared" si="5"/>
        <v>865800</v>
      </c>
      <c r="I30" s="266">
        <v>3</v>
      </c>
      <c r="J30" s="175">
        <f t="shared" si="6"/>
        <v>1298700</v>
      </c>
      <c r="K30" s="266">
        <v>1</v>
      </c>
      <c r="L30" s="175">
        <f t="shared" si="7"/>
        <v>432900</v>
      </c>
      <c r="M30" s="266">
        <f t="shared" si="0"/>
        <v>3</v>
      </c>
      <c r="N30" s="175">
        <f t="shared" si="8"/>
        <v>1298700</v>
      </c>
      <c r="O30" s="329">
        <f t="shared" si="1"/>
        <v>0</v>
      </c>
      <c r="Q30" s="181">
        <v>2</v>
      </c>
      <c r="R30" s="181">
        <v>865800</v>
      </c>
      <c r="T30" s="329">
        <f t="shared" si="2"/>
        <v>0</v>
      </c>
    </row>
    <row r="31" spans="1:20" s="181" customFormat="1" ht="20.100000000000001" customHeight="1" x14ac:dyDescent="0.25">
      <c r="A31" s="171">
        <v>4.03</v>
      </c>
      <c r="B31" s="177" t="s">
        <v>667</v>
      </c>
      <c r="C31" s="184" t="s">
        <v>241</v>
      </c>
      <c r="D31" s="245">
        <v>15</v>
      </c>
      <c r="E31" s="174">
        <v>618400</v>
      </c>
      <c r="F31" s="175">
        <f t="shared" si="4"/>
        <v>9276000</v>
      </c>
      <c r="G31" s="266">
        <f>+BALANCE!G24</f>
        <v>14</v>
      </c>
      <c r="H31" s="175">
        <f t="shared" si="5"/>
        <v>8657600</v>
      </c>
      <c r="I31" s="266">
        <v>16</v>
      </c>
      <c r="J31" s="175">
        <f t="shared" si="6"/>
        <v>9894400</v>
      </c>
      <c r="K31" s="266">
        <v>2</v>
      </c>
      <c r="L31" s="175">
        <f t="shared" si="7"/>
        <v>1236800</v>
      </c>
      <c r="M31" s="266">
        <f t="shared" si="0"/>
        <v>16</v>
      </c>
      <c r="N31" s="175">
        <f t="shared" si="8"/>
        <v>9894400</v>
      </c>
      <c r="O31" s="329">
        <f t="shared" si="1"/>
        <v>0</v>
      </c>
      <c r="Q31" s="181">
        <v>14</v>
      </c>
      <c r="R31" s="181">
        <v>8657600</v>
      </c>
      <c r="T31" s="329">
        <f t="shared" si="2"/>
        <v>0</v>
      </c>
    </row>
    <row r="32" spans="1:20" s="181" customFormat="1" ht="20.100000000000001" customHeight="1" x14ac:dyDescent="0.25">
      <c r="A32" s="171">
        <v>4.04</v>
      </c>
      <c r="B32" s="177" t="s">
        <v>668</v>
      </c>
      <c r="C32" s="184" t="s">
        <v>241</v>
      </c>
      <c r="D32" s="245">
        <v>17</v>
      </c>
      <c r="E32" s="174">
        <v>1584700</v>
      </c>
      <c r="F32" s="175">
        <f t="shared" si="4"/>
        <v>26939900</v>
      </c>
      <c r="G32" s="266">
        <f>+BALANCE!G25</f>
        <v>4</v>
      </c>
      <c r="H32" s="175">
        <f t="shared" si="5"/>
        <v>6338800</v>
      </c>
      <c r="I32" s="266">
        <v>17</v>
      </c>
      <c r="J32" s="175">
        <f t="shared" si="6"/>
        <v>26939900</v>
      </c>
      <c r="K32" s="266">
        <v>9</v>
      </c>
      <c r="L32" s="175">
        <f t="shared" si="7"/>
        <v>14262300</v>
      </c>
      <c r="M32" s="266">
        <f t="shared" si="0"/>
        <v>13</v>
      </c>
      <c r="N32" s="175">
        <f t="shared" si="8"/>
        <v>20601100</v>
      </c>
      <c r="O32" s="329">
        <f t="shared" si="1"/>
        <v>4</v>
      </c>
      <c r="Q32" s="181">
        <v>4</v>
      </c>
      <c r="R32" s="181">
        <v>6338800</v>
      </c>
      <c r="T32" s="329">
        <f t="shared" si="2"/>
        <v>0</v>
      </c>
    </row>
    <row r="33" spans="1:20" s="181" customFormat="1" ht="20.100000000000001" customHeight="1" x14ac:dyDescent="0.25">
      <c r="A33" s="171">
        <v>4.05</v>
      </c>
      <c r="B33" s="177" t="s">
        <v>669</v>
      </c>
      <c r="C33" s="184" t="s">
        <v>241</v>
      </c>
      <c r="D33" s="245">
        <v>2</v>
      </c>
      <c r="E33" s="174">
        <v>2319100</v>
      </c>
      <c r="F33" s="175">
        <f t="shared" si="4"/>
        <v>4638200</v>
      </c>
      <c r="G33" s="266">
        <f>+BALANCE!G26</f>
        <v>2</v>
      </c>
      <c r="H33" s="175">
        <f t="shared" si="5"/>
        <v>4638200</v>
      </c>
      <c r="I33" s="266">
        <v>5</v>
      </c>
      <c r="J33" s="175">
        <f t="shared" si="6"/>
        <v>11595500</v>
      </c>
      <c r="K33" s="266">
        <v>3</v>
      </c>
      <c r="L33" s="175">
        <f t="shared" si="7"/>
        <v>6957300</v>
      </c>
      <c r="M33" s="266">
        <f t="shared" si="0"/>
        <v>5</v>
      </c>
      <c r="N33" s="175">
        <f t="shared" si="8"/>
        <v>11595500</v>
      </c>
      <c r="O33" s="329">
        <f t="shared" si="1"/>
        <v>0</v>
      </c>
      <c r="Q33" s="181">
        <v>2</v>
      </c>
      <c r="R33" s="181">
        <v>4638200</v>
      </c>
      <c r="T33" s="329">
        <f t="shared" si="2"/>
        <v>0</v>
      </c>
    </row>
    <row r="34" spans="1:20" s="181" customFormat="1" ht="20.100000000000001" customHeight="1" x14ac:dyDescent="0.25">
      <c r="A34" s="171">
        <v>4.0599999999999996</v>
      </c>
      <c r="B34" s="177" t="s">
        <v>670</v>
      </c>
      <c r="C34" s="184" t="s">
        <v>241</v>
      </c>
      <c r="D34" s="245">
        <v>1</v>
      </c>
      <c r="E34" s="174">
        <v>4545500</v>
      </c>
      <c r="F34" s="175">
        <f t="shared" si="4"/>
        <v>4545500</v>
      </c>
      <c r="G34" s="266">
        <f>+BALANCE!G27</f>
        <v>0</v>
      </c>
      <c r="H34" s="175">
        <f t="shared" si="5"/>
        <v>0</v>
      </c>
      <c r="I34" s="266">
        <v>1</v>
      </c>
      <c r="J34" s="175">
        <f t="shared" si="6"/>
        <v>4545500</v>
      </c>
      <c r="K34" s="266">
        <v>1</v>
      </c>
      <c r="L34" s="175">
        <f t="shared" si="7"/>
        <v>4545500</v>
      </c>
      <c r="M34" s="266">
        <f t="shared" si="0"/>
        <v>1</v>
      </c>
      <c r="N34" s="175">
        <f t="shared" si="8"/>
        <v>4545500</v>
      </c>
      <c r="O34" s="329">
        <f t="shared" si="1"/>
        <v>0</v>
      </c>
      <c r="Q34" s="181">
        <v>0</v>
      </c>
      <c r="R34" s="181">
        <v>0</v>
      </c>
      <c r="T34" s="329">
        <f t="shared" si="2"/>
        <v>0</v>
      </c>
    </row>
    <row r="35" spans="1:20" s="181" customFormat="1" ht="20.100000000000001" customHeight="1" x14ac:dyDescent="0.25">
      <c r="A35" s="171">
        <v>4.07</v>
      </c>
      <c r="B35" s="177" t="s">
        <v>671</v>
      </c>
      <c r="C35" s="184" t="s">
        <v>241</v>
      </c>
      <c r="D35" s="245">
        <v>1</v>
      </c>
      <c r="E35" s="174">
        <v>5411300</v>
      </c>
      <c r="F35" s="175">
        <f t="shared" si="4"/>
        <v>5411300</v>
      </c>
      <c r="G35" s="266">
        <f>+BALANCE!G28</f>
        <v>1</v>
      </c>
      <c r="H35" s="175">
        <f t="shared" si="5"/>
        <v>5411300</v>
      </c>
      <c r="I35" s="266">
        <v>1</v>
      </c>
      <c r="J35" s="175">
        <f t="shared" si="6"/>
        <v>5411300</v>
      </c>
      <c r="K35" s="266">
        <v>0</v>
      </c>
      <c r="L35" s="175">
        <f t="shared" si="7"/>
        <v>0</v>
      </c>
      <c r="M35" s="266">
        <f t="shared" si="0"/>
        <v>1</v>
      </c>
      <c r="N35" s="175">
        <f t="shared" si="8"/>
        <v>5411300</v>
      </c>
      <c r="O35" s="329">
        <f t="shared" si="1"/>
        <v>0</v>
      </c>
      <c r="Q35" s="181">
        <v>1</v>
      </c>
      <c r="R35" s="181">
        <v>5411300</v>
      </c>
      <c r="T35" s="329">
        <f t="shared" si="2"/>
        <v>0</v>
      </c>
    </row>
    <row r="36" spans="1:20" s="181" customFormat="1" ht="20.100000000000001" customHeight="1" x14ac:dyDescent="0.25">
      <c r="A36" s="171">
        <v>4.08</v>
      </c>
      <c r="B36" s="177" t="s">
        <v>672</v>
      </c>
      <c r="C36" s="184" t="s">
        <v>241</v>
      </c>
      <c r="D36" s="245">
        <v>30</v>
      </c>
      <c r="E36" s="174">
        <v>44700</v>
      </c>
      <c r="F36" s="175">
        <f t="shared" si="4"/>
        <v>1341000</v>
      </c>
      <c r="G36" s="266">
        <f>+BALANCE!G29</f>
        <v>28</v>
      </c>
      <c r="H36" s="175">
        <f t="shared" si="5"/>
        <v>1251600</v>
      </c>
      <c r="I36" s="266">
        <v>32</v>
      </c>
      <c r="J36" s="175">
        <f t="shared" si="6"/>
        <v>1430400</v>
      </c>
      <c r="K36" s="266">
        <f>+K31*2</f>
        <v>4</v>
      </c>
      <c r="L36" s="175">
        <f t="shared" si="7"/>
        <v>178800</v>
      </c>
      <c r="M36" s="266">
        <f t="shared" si="0"/>
        <v>32</v>
      </c>
      <c r="N36" s="175">
        <f t="shared" si="8"/>
        <v>1430400</v>
      </c>
      <c r="O36" s="329">
        <f t="shared" si="1"/>
        <v>0</v>
      </c>
      <c r="Q36" s="181">
        <v>28</v>
      </c>
      <c r="R36" s="181">
        <v>1251600</v>
      </c>
      <c r="T36" s="329">
        <f t="shared" si="2"/>
        <v>0</v>
      </c>
    </row>
    <row r="37" spans="1:20" s="181" customFormat="1" ht="20.100000000000001" customHeight="1" x14ac:dyDescent="0.25">
      <c r="A37" s="171">
        <v>4.09</v>
      </c>
      <c r="B37" s="177" t="s">
        <v>673</v>
      </c>
      <c r="C37" s="184" t="s">
        <v>241</v>
      </c>
      <c r="D37" s="245">
        <v>6</v>
      </c>
      <c r="E37" s="174">
        <v>26100</v>
      </c>
      <c r="F37" s="175">
        <f t="shared" si="4"/>
        <v>156600</v>
      </c>
      <c r="G37" s="266">
        <f>+BALANCE!G30</f>
        <v>4</v>
      </c>
      <c r="H37" s="175">
        <f t="shared" si="5"/>
        <v>104400</v>
      </c>
      <c r="I37" s="266">
        <v>6</v>
      </c>
      <c r="J37" s="175">
        <f t="shared" si="6"/>
        <v>156600</v>
      </c>
      <c r="K37" s="266">
        <f>+K30*2</f>
        <v>2</v>
      </c>
      <c r="L37" s="175">
        <f t="shared" si="7"/>
        <v>52200</v>
      </c>
      <c r="M37" s="266">
        <f t="shared" si="0"/>
        <v>6</v>
      </c>
      <c r="N37" s="175">
        <f t="shared" si="8"/>
        <v>156600</v>
      </c>
      <c r="O37" s="329">
        <f t="shared" si="1"/>
        <v>0</v>
      </c>
      <c r="Q37" s="181">
        <v>4</v>
      </c>
      <c r="R37" s="181">
        <v>104400</v>
      </c>
      <c r="T37" s="329">
        <f t="shared" si="2"/>
        <v>0</v>
      </c>
    </row>
    <row r="38" spans="1:20" s="181" customFormat="1" ht="20.100000000000001" customHeight="1" x14ac:dyDescent="0.25">
      <c r="A38" s="171">
        <v>4.0999999999999996</v>
      </c>
      <c r="B38" s="177" t="s">
        <v>674</v>
      </c>
      <c r="C38" s="184" t="s">
        <v>241</v>
      </c>
      <c r="D38" s="245">
        <v>14</v>
      </c>
      <c r="E38" s="174">
        <v>72600</v>
      </c>
      <c r="F38" s="175">
        <f t="shared" si="4"/>
        <v>1016400</v>
      </c>
      <c r="G38" s="266">
        <f>+BALANCE!G31</f>
        <v>6</v>
      </c>
      <c r="H38" s="175">
        <f t="shared" si="5"/>
        <v>435600</v>
      </c>
      <c r="I38" s="266">
        <v>12</v>
      </c>
      <c r="J38" s="175">
        <f t="shared" si="6"/>
        <v>871200</v>
      </c>
      <c r="K38" s="266">
        <f>+K29*2</f>
        <v>6</v>
      </c>
      <c r="L38" s="175">
        <f t="shared" si="7"/>
        <v>435600</v>
      </c>
      <c r="M38" s="266">
        <f t="shared" si="0"/>
        <v>12</v>
      </c>
      <c r="N38" s="175">
        <f t="shared" si="8"/>
        <v>871200</v>
      </c>
      <c r="O38" s="329">
        <f t="shared" si="1"/>
        <v>0</v>
      </c>
      <c r="Q38" s="181">
        <v>6</v>
      </c>
      <c r="R38" s="181">
        <v>435600</v>
      </c>
      <c r="T38" s="329">
        <f t="shared" si="2"/>
        <v>0</v>
      </c>
    </row>
    <row r="39" spans="1:20" s="181" customFormat="1" ht="20.100000000000001" customHeight="1" x14ac:dyDescent="0.25">
      <c r="A39" s="387">
        <v>4.1100000000000003</v>
      </c>
      <c r="B39" s="177" t="s">
        <v>675</v>
      </c>
      <c r="C39" s="388" t="s">
        <v>241</v>
      </c>
      <c r="D39" s="389">
        <v>34</v>
      </c>
      <c r="E39" s="390">
        <v>186500</v>
      </c>
      <c r="F39" s="386">
        <f t="shared" si="4"/>
        <v>6341000</v>
      </c>
      <c r="G39" s="266">
        <f>+BALANCE!G32</f>
        <v>8</v>
      </c>
      <c r="H39" s="386">
        <f t="shared" si="5"/>
        <v>1492000</v>
      </c>
      <c r="I39" s="266">
        <v>28</v>
      </c>
      <c r="J39" s="386">
        <f t="shared" si="6"/>
        <v>5222000</v>
      </c>
      <c r="K39" s="266">
        <f>+K32*2</f>
        <v>18</v>
      </c>
      <c r="L39" s="386">
        <f t="shared" si="7"/>
        <v>3357000</v>
      </c>
      <c r="M39" s="266">
        <f t="shared" si="0"/>
        <v>26</v>
      </c>
      <c r="N39" s="386">
        <f t="shared" si="8"/>
        <v>4849000</v>
      </c>
      <c r="O39" s="329">
        <f t="shared" si="1"/>
        <v>2</v>
      </c>
      <c r="Q39" s="181">
        <v>8</v>
      </c>
      <c r="R39" s="181">
        <v>1492000</v>
      </c>
      <c r="T39" s="329">
        <f t="shared" si="2"/>
        <v>0</v>
      </c>
    </row>
    <row r="40" spans="1:20" s="181" customFormat="1" ht="20.100000000000001" customHeight="1" x14ac:dyDescent="0.25">
      <c r="A40" s="171">
        <v>4.12</v>
      </c>
      <c r="B40" s="177" t="s">
        <v>676</v>
      </c>
      <c r="C40" s="184" t="s">
        <v>241</v>
      </c>
      <c r="D40" s="245">
        <v>4</v>
      </c>
      <c r="E40" s="174">
        <v>342700</v>
      </c>
      <c r="F40" s="175">
        <f t="shared" si="4"/>
        <v>1370800</v>
      </c>
      <c r="G40" s="266">
        <f>+BALANCE!G33</f>
        <v>4</v>
      </c>
      <c r="H40" s="175">
        <f t="shared" si="5"/>
        <v>1370800</v>
      </c>
      <c r="I40" s="266">
        <v>8</v>
      </c>
      <c r="J40" s="175">
        <f t="shared" si="6"/>
        <v>2741600</v>
      </c>
      <c r="K40" s="266">
        <v>4</v>
      </c>
      <c r="L40" s="175">
        <f t="shared" si="7"/>
        <v>1370800</v>
      </c>
      <c r="M40" s="266">
        <f t="shared" si="0"/>
        <v>8</v>
      </c>
      <c r="N40" s="175">
        <f t="shared" si="8"/>
        <v>2741600</v>
      </c>
      <c r="O40" s="329">
        <f t="shared" si="1"/>
        <v>0</v>
      </c>
      <c r="Q40" s="181">
        <v>4</v>
      </c>
      <c r="R40" s="181">
        <v>1370800</v>
      </c>
      <c r="T40" s="329">
        <f t="shared" si="2"/>
        <v>0</v>
      </c>
    </row>
    <row r="41" spans="1:20" s="181" customFormat="1" ht="20.100000000000001" customHeight="1" x14ac:dyDescent="0.25">
      <c r="A41" s="171">
        <v>4.13</v>
      </c>
      <c r="B41" s="177" t="s">
        <v>677</v>
      </c>
      <c r="C41" s="184" t="s">
        <v>241</v>
      </c>
      <c r="D41" s="245">
        <v>2</v>
      </c>
      <c r="E41" s="174">
        <v>612200</v>
      </c>
      <c r="F41" s="175">
        <f t="shared" si="4"/>
        <v>1224400</v>
      </c>
      <c r="G41" s="266">
        <f>+BALANCE!G34</f>
        <v>0</v>
      </c>
      <c r="H41" s="175">
        <f t="shared" si="5"/>
        <v>0</v>
      </c>
      <c r="I41" s="266">
        <v>2</v>
      </c>
      <c r="J41" s="175">
        <f t="shared" si="6"/>
        <v>1224400</v>
      </c>
      <c r="K41" s="266">
        <f>+K34*2</f>
        <v>2</v>
      </c>
      <c r="L41" s="175">
        <f t="shared" si="7"/>
        <v>1224400</v>
      </c>
      <c r="M41" s="266">
        <f t="shared" si="0"/>
        <v>2</v>
      </c>
      <c r="N41" s="175">
        <f t="shared" si="8"/>
        <v>1224400</v>
      </c>
      <c r="O41" s="329">
        <f t="shared" si="1"/>
        <v>0</v>
      </c>
      <c r="Q41" s="181">
        <v>0</v>
      </c>
      <c r="R41" s="181">
        <v>0</v>
      </c>
      <c r="T41" s="329">
        <f t="shared" si="2"/>
        <v>0</v>
      </c>
    </row>
    <row r="42" spans="1:20" s="181" customFormat="1" ht="20.100000000000001" customHeight="1" x14ac:dyDescent="0.25">
      <c r="A42" s="171">
        <v>4.1399999999999997</v>
      </c>
      <c r="B42" s="177" t="s">
        <v>678</v>
      </c>
      <c r="C42" s="184" t="s">
        <v>241</v>
      </c>
      <c r="D42" s="245">
        <v>2</v>
      </c>
      <c r="E42" s="174">
        <v>948800</v>
      </c>
      <c r="F42" s="175">
        <f t="shared" si="4"/>
        <v>1897600</v>
      </c>
      <c r="G42" s="266">
        <f>+BALANCE!G35</f>
        <v>2</v>
      </c>
      <c r="H42" s="175">
        <f t="shared" si="5"/>
        <v>1897600</v>
      </c>
      <c r="I42" s="266">
        <v>2</v>
      </c>
      <c r="J42" s="175">
        <f t="shared" si="6"/>
        <v>1897600</v>
      </c>
      <c r="K42" s="266">
        <f>+K35*2</f>
        <v>0</v>
      </c>
      <c r="L42" s="175">
        <f t="shared" si="7"/>
        <v>0</v>
      </c>
      <c r="M42" s="266">
        <f t="shared" si="0"/>
        <v>2</v>
      </c>
      <c r="N42" s="175">
        <f t="shared" si="8"/>
        <v>1897600</v>
      </c>
      <c r="O42" s="329">
        <f t="shared" si="1"/>
        <v>0</v>
      </c>
      <c r="Q42" s="181">
        <v>2</v>
      </c>
      <c r="R42" s="181">
        <v>1897600</v>
      </c>
      <c r="T42" s="329">
        <f t="shared" si="2"/>
        <v>0</v>
      </c>
    </row>
    <row r="43" spans="1:20" s="181" customFormat="1" ht="20.100000000000001" customHeight="1" x14ac:dyDescent="0.25">
      <c r="A43" s="171">
        <v>4.1500000000000004</v>
      </c>
      <c r="B43" s="177" t="s">
        <v>679</v>
      </c>
      <c r="C43" s="184" t="s">
        <v>60</v>
      </c>
      <c r="D43" s="245">
        <v>14</v>
      </c>
      <c r="E43" s="174">
        <v>237100</v>
      </c>
      <c r="F43" s="175">
        <f t="shared" si="4"/>
        <v>3319400</v>
      </c>
      <c r="G43" s="266">
        <f>+BALANCE!G36</f>
        <v>0</v>
      </c>
      <c r="H43" s="175">
        <f t="shared" si="5"/>
        <v>0</v>
      </c>
      <c r="I43" s="266">
        <v>0</v>
      </c>
      <c r="J43" s="175">
        <f t="shared" si="6"/>
        <v>0</v>
      </c>
      <c r="K43" s="266">
        <v>0</v>
      </c>
      <c r="L43" s="175">
        <f t="shared" si="7"/>
        <v>0</v>
      </c>
      <c r="M43" s="266">
        <f t="shared" si="0"/>
        <v>0</v>
      </c>
      <c r="N43" s="175">
        <f t="shared" si="8"/>
        <v>0</v>
      </c>
      <c r="O43" s="329">
        <f t="shared" si="1"/>
        <v>0</v>
      </c>
      <c r="Q43" s="181">
        <v>0</v>
      </c>
      <c r="R43" s="181">
        <v>0</v>
      </c>
      <c r="T43" s="329">
        <f t="shared" si="2"/>
        <v>0</v>
      </c>
    </row>
    <row r="44" spans="1:20" s="181" customFormat="1" ht="20.100000000000001" customHeight="1" x14ac:dyDescent="0.25">
      <c r="A44" s="171">
        <v>4.16</v>
      </c>
      <c r="B44" s="177" t="s">
        <v>680</v>
      </c>
      <c r="C44" s="184" t="s">
        <v>60</v>
      </c>
      <c r="D44" s="245">
        <v>6</v>
      </c>
      <c r="E44" s="174">
        <v>71000</v>
      </c>
      <c r="F44" s="175">
        <f t="shared" si="4"/>
        <v>426000</v>
      </c>
      <c r="G44" s="266">
        <f>+BALANCE!G37</f>
        <v>0</v>
      </c>
      <c r="H44" s="175">
        <f t="shared" si="5"/>
        <v>0</v>
      </c>
      <c r="I44" s="266">
        <v>0</v>
      </c>
      <c r="J44" s="175">
        <f t="shared" si="6"/>
        <v>0</v>
      </c>
      <c r="K44" s="266">
        <v>0</v>
      </c>
      <c r="L44" s="175">
        <f t="shared" si="7"/>
        <v>0</v>
      </c>
      <c r="M44" s="266">
        <f t="shared" si="0"/>
        <v>0</v>
      </c>
      <c r="N44" s="175">
        <f t="shared" si="8"/>
        <v>0</v>
      </c>
      <c r="O44" s="329">
        <f t="shared" si="1"/>
        <v>0</v>
      </c>
      <c r="Q44" s="181">
        <v>0</v>
      </c>
      <c r="R44" s="181">
        <v>0</v>
      </c>
      <c r="T44" s="329">
        <f t="shared" si="2"/>
        <v>0</v>
      </c>
    </row>
    <row r="45" spans="1:20" s="181" customFormat="1" ht="20.100000000000001" customHeight="1" x14ac:dyDescent="0.25">
      <c r="A45" s="171">
        <v>4.17</v>
      </c>
      <c r="B45" s="177" t="s">
        <v>681</v>
      </c>
      <c r="C45" s="184" t="s">
        <v>60</v>
      </c>
      <c r="D45" s="245">
        <v>30</v>
      </c>
      <c r="E45" s="174">
        <v>146800</v>
      </c>
      <c r="F45" s="175">
        <f t="shared" si="4"/>
        <v>4404000</v>
      </c>
      <c r="G45" s="266">
        <f>+BALANCE!G38</f>
        <v>0</v>
      </c>
      <c r="H45" s="175">
        <f t="shared" si="5"/>
        <v>0</v>
      </c>
      <c r="I45" s="266">
        <v>0</v>
      </c>
      <c r="J45" s="175">
        <f t="shared" si="6"/>
        <v>0</v>
      </c>
      <c r="K45" s="266">
        <v>0</v>
      </c>
      <c r="L45" s="175">
        <f t="shared" si="7"/>
        <v>0</v>
      </c>
      <c r="M45" s="266">
        <f t="shared" si="0"/>
        <v>0</v>
      </c>
      <c r="N45" s="175">
        <f t="shared" si="8"/>
        <v>0</v>
      </c>
      <c r="O45" s="329">
        <f t="shared" si="1"/>
        <v>0</v>
      </c>
      <c r="Q45" s="181">
        <v>0</v>
      </c>
      <c r="R45" s="181">
        <v>0</v>
      </c>
      <c r="T45" s="329">
        <f t="shared" si="2"/>
        <v>0</v>
      </c>
    </row>
    <row r="46" spans="1:20" s="181" customFormat="1" ht="20.100000000000001" customHeight="1" x14ac:dyDescent="0.25">
      <c r="A46" s="171">
        <v>4.18</v>
      </c>
      <c r="B46" s="177" t="s">
        <v>682</v>
      </c>
      <c r="C46" s="184" t="s">
        <v>60</v>
      </c>
      <c r="D46" s="245">
        <v>34</v>
      </c>
      <c r="E46" s="174">
        <v>113900</v>
      </c>
      <c r="F46" s="175">
        <f t="shared" si="4"/>
        <v>3872600</v>
      </c>
      <c r="G46" s="266">
        <f>+BALANCE!G39</f>
        <v>0</v>
      </c>
      <c r="H46" s="175">
        <f t="shared" si="5"/>
        <v>0</v>
      </c>
      <c r="I46" s="266">
        <v>0</v>
      </c>
      <c r="J46" s="175">
        <f t="shared" si="6"/>
        <v>0</v>
      </c>
      <c r="K46" s="266">
        <v>0</v>
      </c>
      <c r="L46" s="175">
        <f t="shared" si="7"/>
        <v>0</v>
      </c>
      <c r="M46" s="266">
        <f t="shared" si="0"/>
        <v>0</v>
      </c>
      <c r="N46" s="175">
        <f t="shared" si="8"/>
        <v>0</v>
      </c>
      <c r="O46" s="329">
        <f t="shared" si="1"/>
        <v>0</v>
      </c>
      <c r="Q46" s="181">
        <v>0</v>
      </c>
      <c r="R46" s="181">
        <v>0</v>
      </c>
      <c r="T46" s="329">
        <f t="shared" si="2"/>
        <v>0</v>
      </c>
    </row>
    <row r="47" spans="1:20" s="181" customFormat="1" ht="21.95" customHeight="1" x14ac:dyDescent="0.25">
      <c r="A47" s="171">
        <v>4.1900000000000004</v>
      </c>
      <c r="B47" s="177" t="s">
        <v>683</v>
      </c>
      <c r="C47" s="184" t="s">
        <v>60</v>
      </c>
      <c r="D47" s="245">
        <v>4</v>
      </c>
      <c r="E47" s="174">
        <v>183300</v>
      </c>
      <c r="F47" s="175">
        <f t="shared" si="4"/>
        <v>733200</v>
      </c>
      <c r="G47" s="266">
        <f>+BALANCE!G40</f>
        <v>0</v>
      </c>
      <c r="H47" s="175">
        <f t="shared" si="5"/>
        <v>0</v>
      </c>
      <c r="I47" s="266">
        <v>0</v>
      </c>
      <c r="J47" s="175">
        <f t="shared" si="6"/>
        <v>0</v>
      </c>
      <c r="K47" s="266">
        <v>0</v>
      </c>
      <c r="L47" s="175">
        <f t="shared" si="7"/>
        <v>0</v>
      </c>
      <c r="M47" s="266">
        <f t="shared" si="0"/>
        <v>0</v>
      </c>
      <c r="N47" s="175">
        <f t="shared" si="8"/>
        <v>0</v>
      </c>
      <c r="O47" s="329">
        <f t="shared" si="1"/>
        <v>0</v>
      </c>
      <c r="Q47" s="181">
        <v>0</v>
      </c>
      <c r="R47" s="181">
        <v>0</v>
      </c>
      <c r="T47" s="329">
        <f t="shared" si="2"/>
        <v>0</v>
      </c>
    </row>
    <row r="48" spans="1:20" s="181" customFormat="1" ht="21.95" customHeight="1" x14ac:dyDescent="0.25">
      <c r="A48" s="171">
        <v>4.2</v>
      </c>
      <c r="B48" s="177" t="s">
        <v>684</v>
      </c>
      <c r="C48" s="184" t="s">
        <v>60</v>
      </c>
      <c r="D48" s="245">
        <v>2</v>
      </c>
      <c r="E48" s="174">
        <v>278200</v>
      </c>
      <c r="F48" s="175">
        <f t="shared" si="4"/>
        <v>556400</v>
      </c>
      <c r="G48" s="266">
        <f>+BALANCE!G41</f>
        <v>0</v>
      </c>
      <c r="H48" s="175">
        <f t="shared" si="5"/>
        <v>0</v>
      </c>
      <c r="I48" s="266">
        <v>0</v>
      </c>
      <c r="J48" s="175">
        <f t="shared" si="6"/>
        <v>0</v>
      </c>
      <c r="K48" s="266">
        <v>0</v>
      </c>
      <c r="L48" s="175">
        <f t="shared" si="7"/>
        <v>0</v>
      </c>
      <c r="M48" s="266">
        <f t="shared" si="0"/>
        <v>0</v>
      </c>
      <c r="N48" s="175">
        <f t="shared" si="8"/>
        <v>0</v>
      </c>
      <c r="O48" s="329">
        <f t="shared" si="1"/>
        <v>0</v>
      </c>
      <c r="Q48" s="181">
        <v>0</v>
      </c>
      <c r="R48" s="181">
        <v>0</v>
      </c>
      <c r="T48" s="329">
        <f t="shared" si="2"/>
        <v>0</v>
      </c>
    </row>
    <row r="49" spans="1:20" s="181" customFormat="1" ht="21.95" customHeight="1" x14ac:dyDescent="0.25">
      <c r="A49" s="171">
        <v>4.21</v>
      </c>
      <c r="B49" s="177" t="s">
        <v>685</v>
      </c>
      <c r="C49" s="184" t="s">
        <v>60</v>
      </c>
      <c r="D49" s="245">
        <v>2</v>
      </c>
      <c r="E49" s="174">
        <v>381800</v>
      </c>
      <c r="F49" s="175">
        <f t="shared" si="4"/>
        <v>763600</v>
      </c>
      <c r="G49" s="266">
        <f>+BALANCE!G42</f>
        <v>0</v>
      </c>
      <c r="H49" s="175">
        <f t="shared" si="5"/>
        <v>0</v>
      </c>
      <c r="I49" s="266">
        <v>0</v>
      </c>
      <c r="J49" s="175">
        <f t="shared" si="6"/>
        <v>0</v>
      </c>
      <c r="K49" s="266">
        <v>0</v>
      </c>
      <c r="L49" s="175">
        <f t="shared" si="7"/>
        <v>0</v>
      </c>
      <c r="M49" s="266">
        <f t="shared" si="0"/>
        <v>0</v>
      </c>
      <c r="N49" s="175">
        <f t="shared" si="8"/>
        <v>0</v>
      </c>
      <c r="O49" s="329">
        <f t="shared" si="1"/>
        <v>0</v>
      </c>
      <c r="Q49" s="181">
        <v>0</v>
      </c>
      <c r="R49" s="181">
        <v>0</v>
      </c>
      <c r="T49" s="329">
        <f t="shared" si="2"/>
        <v>0</v>
      </c>
    </row>
    <row r="50" spans="1:20" s="181" customFormat="1" x14ac:dyDescent="0.25">
      <c r="A50" s="190"/>
      <c r="B50" s="179" t="s">
        <v>655</v>
      </c>
      <c r="C50" s="186" t="s">
        <v>650</v>
      </c>
      <c r="D50" s="188" t="s">
        <v>650</v>
      </c>
      <c r="E50" s="187"/>
      <c r="F50" s="180">
        <f>SUM(F29:F49)</f>
        <v>85268400</v>
      </c>
      <c r="G50" s="266" t="str">
        <f>+BALANCE!G43</f>
        <v xml:space="preserve"> </v>
      </c>
      <c r="H50" s="180">
        <f>SUM(H29:H49)</f>
        <v>34921900</v>
      </c>
      <c r="I50" s="266"/>
      <c r="J50" s="180">
        <f>SUM(J29:J49)</f>
        <v>78145500</v>
      </c>
      <c r="K50" s="266"/>
      <c r="L50" s="180">
        <f>SUM(L29:L49)</f>
        <v>36511800</v>
      </c>
      <c r="M50" s="266"/>
      <c r="N50" s="180">
        <f>SUM(N29:N49)</f>
        <v>71433700</v>
      </c>
      <c r="O50" s="329">
        <f t="shared" si="1"/>
        <v>0</v>
      </c>
      <c r="Q50" s="181" t="s">
        <v>650</v>
      </c>
      <c r="R50" s="181">
        <v>34921900</v>
      </c>
      <c r="T50" s="329" t="e">
        <f t="shared" si="2"/>
        <v>#VALUE!</v>
      </c>
    </row>
    <row r="51" spans="1:20" s="181" customFormat="1" ht="18.75" customHeight="1" x14ac:dyDescent="0.25">
      <c r="A51" s="178">
        <v>5</v>
      </c>
      <c r="B51" s="179" t="s">
        <v>686</v>
      </c>
      <c r="C51" s="186"/>
      <c r="D51" s="188"/>
      <c r="E51" s="186"/>
      <c r="F51" s="189"/>
      <c r="G51" s="266"/>
      <c r="H51" s="189"/>
      <c r="I51" s="266"/>
      <c r="J51" s="189"/>
      <c r="K51" s="266"/>
      <c r="L51" s="189"/>
      <c r="M51" s="266"/>
      <c r="N51" s="189"/>
      <c r="O51" s="329">
        <f t="shared" si="1"/>
        <v>0</v>
      </c>
      <c r="T51" s="329">
        <f t="shared" si="2"/>
        <v>0</v>
      </c>
    </row>
    <row r="52" spans="1:20" ht="18.75" customHeight="1" x14ac:dyDescent="0.25">
      <c r="A52" s="171">
        <v>5.01</v>
      </c>
      <c r="B52" s="194" t="s">
        <v>687</v>
      </c>
      <c r="C52" s="241" t="s">
        <v>241</v>
      </c>
      <c r="D52" s="195">
        <v>46</v>
      </c>
      <c r="E52" s="174">
        <v>37200</v>
      </c>
      <c r="F52" s="175">
        <f>ROUND(D52*E52,0)</f>
        <v>1711200</v>
      </c>
      <c r="G52" s="266">
        <f>+BALANCE!G45</f>
        <v>26</v>
      </c>
      <c r="H52" s="175">
        <f>ROUND(E52*G52,0)</f>
        <v>967200</v>
      </c>
      <c r="I52" s="266">
        <v>49</v>
      </c>
      <c r="J52" s="175">
        <f>ROUND(E52*I52,0)</f>
        <v>1822800</v>
      </c>
      <c r="K52" s="266">
        <v>19</v>
      </c>
      <c r="L52" s="175">
        <f>ROUND(E52*K52,0)</f>
        <v>706800</v>
      </c>
      <c r="M52" s="266">
        <f t="shared" si="0"/>
        <v>45</v>
      </c>
      <c r="N52" s="175">
        <f>ROUND(E52*M52,0)</f>
        <v>1674000</v>
      </c>
      <c r="O52" s="329">
        <f t="shared" si="1"/>
        <v>4</v>
      </c>
      <c r="Q52" s="157">
        <v>26</v>
      </c>
      <c r="R52" s="157">
        <v>967200</v>
      </c>
      <c r="T52" s="329">
        <f t="shared" si="2"/>
        <v>0</v>
      </c>
    </row>
    <row r="53" spans="1:20" ht="16.5" customHeight="1" x14ac:dyDescent="0.2">
      <c r="A53" s="171">
        <v>5.0199999999999996</v>
      </c>
      <c r="B53" s="192" t="s">
        <v>688</v>
      </c>
      <c r="C53" s="173" t="s">
        <v>689</v>
      </c>
      <c r="D53" s="244">
        <v>1</v>
      </c>
      <c r="E53" s="174">
        <v>1499100</v>
      </c>
      <c r="F53" s="175">
        <f>ROUND(D53*E53,0)</f>
        <v>1499100</v>
      </c>
      <c r="G53" s="266">
        <f>+BALANCE!G46</f>
        <v>0</v>
      </c>
      <c r="H53" s="175">
        <f>ROUND(E53*G53,0)</f>
        <v>0</v>
      </c>
      <c r="I53" s="266">
        <v>1</v>
      </c>
      <c r="J53" s="175">
        <f>ROUND(E53*I53,0)</f>
        <v>1499100</v>
      </c>
      <c r="K53" s="266">
        <v>0</v>
      </c>
      <c r="L53" s="175">
        <f>ROUND(E53*K53,0)</f>
        <v>0</v>
      </c>
      <c r="M53" s="266">
        <f t="shared" si="0"/>
        <v>0</v>
      </c>
      <c r="N53" s="175">
        <f>ROUND(E53*M53,0)</f>
        <v>0</v>
      </c>
      <c r="O53" s="329">
        <f t="shared" si="1"/>
        <v>1</v>
      </c>
      <c r="Q53" s="157">
        <v>0</v>
      </c>
      <c r="R53" s="157">
        <v>0</v>
      </c>
      <c r="T53" s="329">
        <f t="shared" si="2"/>
        <v>0</v>
      </c>
    </row>
    <row r="54" spans="1:20" s="181" customFormat="1" ht="21.95" customHeight="1" x14ac:dyDescent="0.25">
      <c r="A54" s="178"/>
      <c r="B54" s="186"/>
      <c r="C54" s="186"/>
      <c r="D54" s="188"/>
      <c r="E54" s="186" t="s">
        <v>655</v>
      </c>
      <c r="F54" s="180">
        <f>SUM(F52:F53)</f>
        <v>3210300</v>
      </c>
      <c r="G54" s="267"/>
      <c r="H54" s="180">
        <f>SUM(H52:H53)</f>
        <v>967200</v>
      </c>
      <c r="I54" s="267"/>
      <c r="J54" s="180">
        <f>SUM(J52:J53)</f>
        <v>3321900</v>
      </c>
      <c r="K54" s="267"/>
      <c r="L54" s="180">
        <f>SUM(L52:L53)</f>
        <v>706800</v>
      </c>
      <c r="M54" s="266"/>
      <c r="N54" s="180">
        <f>SUM(N52:N53)</f>
        <v>1674000</v>
      </c>
      <c r="O54" s="329">
        <f t="shared" si="1"/>
        <v>0</v>
      </c>
      <c r="R54" s="181">
        <v>967200</v>
      </c>
      <c r="T54" s="329">
        <f t="shared" si="2"/>
        <v>0</v>
      </c>
    </row>
    <row r="55" spans="1:20" s="181" customFormat="1" x14ac:dyDescent="0.25">
      <c r="A55" s="178">
        <v>6</v>
      </c>
      <c r="B55" s="179" t="s">
        <v>774</v>
      </c>
      <c r="C55" s="186"/>
      <c r="D55" s="188"/>
      <c r="E55" s="186"/>
      <c r="F55" s="189"/>
      <c r="G55" s="267"/>
      <c r="H55" s="189"/>
      <c r="I55" s="267"/>
      <c r="J55" s="189"/>
      <c r="K55" s="327"/>
      <c r="L55" s="327"/>
      <c r="M55" s="266"/>
      <c r="N55" s="189"/>
      <c r="O55" s="329">
        <f t="shared" si="1"/>
        <v>0</v>
      </c>
      <c r="T55" s="329">
        <f t="shared" si="2"/>
        <v>0</v>
      </c>
    </row>
    <row r="56" spans="1:20" s="181" customFormat="1" ht="12.75" x14ac:dyDescent="0.25">
      <c r="A56" s="171">
        <v>6.01</v>
      </c>
      <c r="B56" s="177" t="s">
        <v>835</v>
      </c>
      <c r="C56" s="241" t="s">
        <v>241</v>
      </c>
      <c r="D56" s="195"/>
      <c r="E56" s="174">
        <f>+'NP APU'!K396</f>
        <v>86900</v>
      </c>
      <c r="F56" s="175">
        <v>0</v>
      </c>
      <c r="G56" s="266">
        <v>0</v>
      </c>
      <c r="H56" s="175">
        <f t="shared" ref="H56:H61" si="9">G56*E56</f>
        <v>0</v>
      </c>
      <c r="I56" s="266">
        <v>5</v>
      </c>
      <c r="J56" s="175">
        <f>+I56*E56</f>
        <v>434500</v>
      </c>
      <c r="K56" s="266">
        <v>5</v>
      </c>
      <c r="L56" s="175">
        <f t="shared" ref="L56:L62" si="10">ROUND(E56*K56,0)</f>
        <v>434500</v>
      </c>
      <c r="M56" s="266">
        <f t="shared" si="0"/>
        <v>5</v>
      </c>
      <c r="N56" s="175">
        <f>ROUND(E56*M56,0)</f>
        <v>434500</v>
      </c>
      <c r="O56" s="329">
        <f t="shared" si="1"/>
        <v>0</v>
      </c>
      <c r="Q56" s="181">
        <v>0</v>
      </c>
      <c r="R56" s="181">
        <v>0</v>
      </c>
      <c r="T56" s="329">
        <f>+Q56-G56</f>
        <v>0</v>
      </c>
    </row>
    <row r="57" spans="1:20" s="181" customFormat="1" ht="12.75" x14ac:dyDescent="0.25">
      <c r="A57" s="171">
        <v>6.02</v>
      </c>
      <c r="B57" s="177" t="s">
        <v>836</v>
      </c>
      <c r="C57" s="241" t="s">
        <v>241</v>
      </c>
      <c r="D57" s="195"/>
      <c r="E57" s="174">
        <f>+'NP APU'!K432</f>
        <v>40941</v>
      </c>
      <c r="F57" s="175">
        <v>0</v>
      </c>
      <c r="G57" s="266">
        <v>0</v>
      </c>
      <c r="H57" s="175">
        <f t="shared" si="9"/>
        <v>0</v>
      </c>
      <c r="I57" s="266">
        <v>3</v>
      </c>
      <c r="J57" s="175">
        <f t="shared" ref="J57:J60" si="11">+I57*E57</f>
        <v>122823</v>
      </c>
      <c r="K57" s="266">
        <v>3</v>
      </c>
      <c r="L57" s="175">
        <f t="shared" si="10"/>
        <v>122823</v>
      </c>
      <c r="M57" s="266">
        <f t="shared" si="0"/>
        <v>3</v>
      </c>
      <c r="N57" s="175">
        <f t="shared" ref="N57:N62" si="12">ROUND(E57*M57,0)</f>
        <v>122823</v>
      </c>
      <c r="O57" s="329">
        <f t="shared" si="1"/>
        <v>0</v>
      </c>
      <c r="Q57" s="181">
        <v>0</v>
      </c>
      <c r="R57" s="181">
        <v>0</v>
      </c>
      <c r="T57" s="329">
        <f t="shared" si="2"/>
        <v>0</v>
      </c>
    </row>
    <row r="58" spans="1:20" s="181" customFormat="1" ht="12.75" x14ac:dyDescent="0.25">
      <c r="A58" s="171">
        <v>6.03</v>
      </c>
      <c r="B58" s="177" t="s">
        <v>837</v>
      </c>
      <c r="C58" s="241" t="s">
        <v>241</v>
      </c>
      <c r="D58" s="195"/>
      <c r="E58" s="174">
        <f>+'NP APU'!K468</f>
        <v>65175</v>
      </c>
      <c r="F58" s="175">
        <v>0</v>
      </c>
      <c r="G58" s="266">
        <v>0</v>
      </c>
      <c r="H58" s="175">
        <f t="shared" si="9"/>
        <v>0</v>
      </c>
      <c r="I58" s="266">
        <v>15</v>
      </c>
      <c r="J58" s="175">
        <f t="shared" si="11"/>
        <v>977625</v>
      </c>
      <c r="K58" s="266">
        <v>15</v>
      </c>
      <c r="L58" s="175">
        <f t="shared" si="10"/>
        <v>977625</v>
      </c>
      <c r="M58" s="266">
        <f t="shared" si="0"/>
        <v>15</v>
      </c>
      <c r="N58" s="175">
        <f t="shared" si="12"/>
        <v>977625</v>
      </c>
      <c r="O58" s="329">
        <f t="shared" si="1"/>
        <v>0</v>
      </c>
      <c r="Q58" s="181">
        <v>0</v>
      </c>
      <c r="R58" s="181">
        <v>0</v>
      </c>
      <c r="T58" s="329">
        <f t="shared" si="2"/>
        <v>0</v>
      </c>
    </row>
    <row r="59" spans="1:20" s="181" customFormat="1" ht="12.75" x14ac:dyDescent="0.25">
      <c r="A59" s="171">
        <v>6.04</v>
      </c>
      <c r="B59" s="177" t="s">
        <v>838</v>
      </c>
      <c r="C59" s="241" t="s">
        <v>241</v>
      </c>
      <c r="D59" s="195"/>
      <c r="E59" s="174">
        <f>+'NP APU'!K502</f>
        <v>158348</v>
      </c>
      <c r="F59" s="175">
        <v>0</v>
      </c>
      <c r="G59" s="266">
        <v>0</v>
      </c>
      <c r="H59" s="175">
        <f t="shared" si="9"/>
        <v>0</v>
      </c>
      <c r="I59" s="266">
        <v>15</v>
      </c>
      <c r="J59" s="175">
        <f t="shared" si="11"/>
        <v>2375220</v>
      </c>
      <c r="K59" s="266">
        <v>11</v>
      </c>
      <c r="L59" s="175">
        <f t="shared" si="10"/>
        <v>1741828</v>
      </c>
      <c r="M59" s="266">
        <f t="shared" si="0"/>
        <v>11</v>
      </c>
      <c r="N59" s="175">
        <f t="shared" si="12"/>
        <v>1741828</v>
      </c>
      <c r="O59" s="329">
        <f t="shared" si="1"/>
        <v>4</v>
      </c>
      <c r="Q59" s="181">
        <v>0</v>
      </c>
      <c r="R59" s="181">
        <v>0</v>
      </c>
      <c r="T59" s="329">
        <f t="shared" si="2"/>
        <v>0</v>
      </c>
    </row>
    <row r="60" spans="1:20" s="181" customFormat="1" ht="12.75" x14ac:dyDescent="0.25">
      <c r="A60" s="171">
        <v>6.05</v>
      </c>
      <c r="B60" s="177" t="s">
        <v>839</v>
      </c>
      <c r="C60" s="241" t="s">
        <v>241</v>
      </c>
      <c r="D60" s="195"/>
      <c r="E60" s="174">
        <f>+'NP APU'!K536</f>
        <v>261131</v>
      </c>
      <c r="F60" s="175">
        <v>0</v>
      </c>
      <c r="G60" s="266">
        <v>0</v>
      </c>
      <c r="H60" s="175">
        <f t="shared" si="9"/>
        <v>0</v>
      </c>
      <c r="I60" s="266">
        <v>2</v>
      </c>
      <c r="J60" s="175">
        <f t="shared" si="11"/>
        <v>522262</v>
      </c>
      <c r="K60" s="266">
        <v>2</v>
      </c>
      <c r="L60" s="175">
        <f t="shared" si="10"/>
        <v>522262</v>
      </c>
      <c r="M60" s="266">
        <f t="shared" si="0"/>
        <v>2</v>
      </c>
      <c r="N60" s="175">
        <f t="shared" si="12"/>
        <v>522262</v>
      </c>
      <c r="O60" s="329">
        <f t="shared" si="1"/>
        <v>0</v>
      </c>
      <c r="Q60" s="181">
        <v>0</v>
      </c>
      <c r="R60" s="181">
        <v>0</v>
      </c>
      <c r="T60" s="329">
        <f t="shared" si="2"/>
        <v>0</v>
      </c>
    </row>
    <row r="61" spans="1:20" s="181" customFormat="1" ht="12.75" x14ac:dyDescent="0.25">
      <c r="A61" s="171">
        <v>6.08</v>
      </c>
      <c r="B61" s="177" t="s">
        <v>848</v>
      </c>
      <c r="C61" s="241" t="s">
        <v>241</v>
      </c>
      <c r="D61" s="347"/>
      <c r="E61" s="348">
        <f>+'NP APU'!K572</f>
        <v>298666</v>
      </c>
      <c r="F61" s="175">
        <v>0</v>
      </c>
      <c r="G61" s="266">
        <v>0</v>
      </c>
      <c r="H61" s="175">
        <f t="shared" si="9"/>
        <v>0</v>
      </c>
      <c r="I61" s="266">
        <v>6</v>
      </c>
      <c r="J61" s="175">
        <f t="shared" ref="J61:J62" si="13">+I61*E61</f>
        <v>1791996</v>
      </c>
      <c r="K61" s="350">
        <v>0</v>
      </c>
      <c r="L61" s="175">
        <f t="shared" si="10"/>
        <v>0</v>
      </c>
      <c r="M61" s="350">
        <f t="shared" si="0"/>
        <v>0</v>
      </c>
      <c r="N61" s="175">
        <f t="shared" si="12"/>
        <v>0</v>
      </c>
      <c r="O61" s="329">
        <f t="shared" si="1"/>
        <v>6</v>
      </c>
      <c r="T61" s="329"/>
    </row>
    <row r="62" spans="1:20" s="181" customFormat="1" ht="12.75" x14ac:dyDescent="0.25">
      <c r="A62" s="387">
        <v>6.09</v>
      </c>
      <c r="B62" s="177" t="s">
        <v>849</v>
      </c>
      <c r="C62" s="385" t="s">
        <v>241</v>
      </c>
      <c r="D62" s="347"/>
      <c r="E62" s="348">
        <f>+'NP APU'!K606</f>
        <v>412399</v>
      </c>
      <c r="F62" s="175">
        <v>0</v>
      </c>
      <c r="G62" s="266">
        <v>0</v>
      </c>
      <c r="H62" s="175">
        <f t="shared" ref="H62" si="14">G62*E62</f>
        <v>0</v>
      </c>
      <c r="I62" s="350">
        <v>2</v>
      </c>
      <c r="J62" s="175">
        <f t="shared" si="13"/>
        <v>824798</v>
      </c>
      <c r="K62" s="350">
        <v>2</v>
      </c>
      <c r="L62" s="175">
        <f t="shared" si="10"/>
        <v>824798</v>
      </c>
      <c r="M62" s="350">
        <f t="shared" si="0"/>
        <v>2</v>
      </c>
      <c r="N62" s="175">
        <f t="shared" si="12"/>
        <v>824798</v>
      </c>
      <c r="O62" s="329"/>
      <c r="T62" s="329"/>
    </row>
    <row r="63" spans="1:20" s="181" customFormat="1" ht="12.75" thickBot="1" x14ac:dyDescent="0.3">
      <c r="A63" s="196"/>
      <c r="B63" s="198"/>
      <c r="C63" s="198"/>
      <c r="D63" s="246"/>
      <c r="E63" s="198" t="s">
        <v>655</v>
      </c>
      <c r="F63" s="199">
        <f>SUM(F56:F62)</f>
        <v>0</v>
      </c>
      <c r="G63" s="256"/>
      <c r="H63" s="199">
        <f>SUM(H56:H62)</f>
        <v>0</v>
      </c>
      <c r="I63" s="256"/>
      <c r="J63" s="199">
        <f>SUM(J56:J62)</f>
        <v>7049224</v>
      </c>
      <c r="K63" s="256"/>
      <c r="L63" s="199">
        <f>SUM(L56:L62)</f>
        <v>4623836</v>
      </c>
      <c r="M63" s="269"/>
      <c r="N63" s="199">
        <f>SUM(N56:N62)</f>
        <v>4623836</v>
      </c>
      <c r="Q63" s="181">
        <v>0</v>
      </c>
      <c r="R63" s="181">
        <v>0</v>
      </c>
      <c r="T63" s="329">
        <f t="shared" si="2"/>
        <v>0</v>
      </c>
    </row>
    <row r="64" spans="1:20" ht="12.75" thickBot="1" x14ac:dyDescent="0.3">
      <c r="A64" s="316"/>
      <c r="B64" s="317"/>
      <c r="C64" s="317"/>
      <c r="D64" s="317"/>
      <c r="E64" s="317"/>
      <c r="F64" s="317"/>
      <c r="G64" s="317"/>
      <c r="H64" s="317"/>
      <c r="I64" s="317"/>
      <c r="J64" s="317"/>
      <c r="K64" s="317"/>
      <c r="L64" s="317"/>
      <c r="M64" s="317"/>
      <c r="N64" s="318"/>
      <c r="R64" s="157">
        <v>0</v>
      </c>
      <c r="T64" s="329">
        <f t="shared" si="2"/>
        <v>0</v>
      </c>
    </row>
    <row r="65" spans="1:20" ht="17.25" customHeight="1" x14ac:dyDescent="0.25">
      <c r="A65" s="538" t="s">
        <v>783</v>
      </c>
      <c r="B65" s="539"/>
      <c r="C65" s="200"/>
      <c r="D65" s="275"/>
      <c r="E65" s="201"/>
      <c r="F65" s="202">
        <f>SUM(F17,F22,F50,F27,F54,F63)</f>
        <v>111168867</v>
      </c>
      <c r="G65" s="257"/>
      <c r="H65" s="202">
        <f>SUM(H17,H22,H50,H27,H54,H63)</f>
        <v>44610392</v>
      </c>
      <c r="I65" s="257"/>
      <c r="J65" s="202">
        <f>SUM(J17,J22,J50,J27,J54,J63)</f>
        <v>111089347</v>
      </c>
      <c r="K65" s="328"/>
      <c r="L65" s="328">
        <f>SUM(L17,L22,L50,L27,L54,L63)</f>
        <v>48746834</v>
      </c>
      <c r="M65" s="270"/>
      <c r="N65" s="202">
        <f>SUM(N17,N22,N50,N27,N54,N63)</f>
        <v>93357226</v>
      </c>
      <c r="O65" s="346">
        <f>+H65+L65</f>
        <v>93357226</v>
      </c>
      <c r="P65" s="346">
        <f>+N65-O65</f>
        <v>0</v>
      </c>
      <c r="T65" s="329">
        <f t="shared" si="2"/>
        <v>0</v>
      </c>
    </row>
    <row r="66" spans="1:20" ht="19.5" customHeight="1" x14ac:dyDescent="0.25">
      <c r="A66" s="502" t="s">
        <v>784</v>
      </c>
      <c r="B66" s="503"/>
      <c r="C66" s="203"/>
      <c r="D66" s="277">
        <v>0.28000000000000003</v>
      </c>
      <c r="E66" s="204"/>
      <c r="F66" s="205">
        <f>ROUND(F65*D66,2)</f>
        <v>31127282.760000002</v>
      </c>
      <c r="G66" s="258"/>
      <c r="H66" s="205">
        <f>ROUND(H65*D66,2)</f>
        <v>12490909.76</v>
      </c>
      <c r="I66" s="258"/>
      <c r="J66" s="205">
        <f>ROUND(J65*D66,2)</f>
        <v>31105017.16</v>
      </c>
      <c r="K66" s="307"/>
      <c r="L66" s="205">
        <f>ROUND(L65*D66,2)</f>
        <v>13649113.52</v>
      </c>
      <c r="M66" s="258"/>
      <c r="N66" s="205">
        <f>ROUND(N65*D66,2)</f>
        <v>26140023.280000001</v>
      </c>
      <c r="O66" s="346">
        <f t="shared" ref="O66:O74" si="15">+H66+L66</f>
        <v>26140023.280000001</v>
      </c>
      <c r="P66" s="346">
        <f t="shared" ref="P66:P74" si="16">+N66-O66</f>
        <v>0</v>
      </c>
      <c r="R66" s="157">
        <v>44610392</v>
      </c>
      <c r="T66" s="329">
        <f t="shared" si="2"/>
        <v>0</v>
      </c>
    </row>
    <row r="67" spans="1:20" ht="18.75" customHeight="1" x14ac:dyDescent="0.25">
      <c r="A67" s="504" t="s">
        <v>785</v>
      </c>
      <c r="B67" s="505"/>
      <c r="C67" s="206"/>
      <c r="D67" s="278">
        <v>0.02</v>
      </c>
      <c r="E67" s="207"/>
      <c r="F67" s="205">
        <f>ROUND(F65*D67,2)</f>
        <v>2223377.34</v>
      </c>
      <c r="G67" s="259"/>
      <c r="H67" s="205">
        <f>ROUND(H65*D67,2)</f>
        <v>892207.84</v>
      </c>
      <c r="I67" s="259"/>
      <c r="J67" s="205">
        <f>ROUND(J65*D67,2)</f>
        <v>2221786.94</v>
      </c>
      <c r="K67" s="307"/>
      <c r="L67" s="205">
        <f>ROUND(L65*D67,2)</f>
        <v>974936.68</v>
      </c>
      <c r="M67" s="259"/>
      <c r="N67" s="205">
        <f>ROUND(N65*D67,2)</f>
        <v>1867144.52</v>
      </c>
      <c r="O67" s="346">
        <f t="shared" si="15"/>
        <v>1867144.52</v>
      </c>
      <c r="P67" s="346">
        <f t="shared" si="16"/>
        <v>0</v>
      </c>
      <c r="R67" s="157">
        <v>12490909.76</v>
      </c>
      <c r="T67" s="329">
        <f t="shared" si="2"/>
        <v>0</v>
      </c>
    </row>
    <row r="68" spans="1:20" ht="17.25" customHeight="1" x14ac:dyDescent="0.25">
      <c r="A68" s="502" t="s">
        <v>786</v>
      </c>
      <c r="B68" s="503"/>
      <c r="C68" s="203"/>
      <c r="D68" s="277">
        <v>0.05</v>
      </c>
      <c r="E68" s="209"/>
      <c r="F68" s="205">
        <f>ROUND(F65*D68,2)</f>
        <v>5558443.3499999996</v>
      </c>
      <c r="G68" s="260"/>
      <c r="H68" s="205">
        <f>ROUND(H65*D68,2)</f>
        <v>2230519.6</v>
      </c>
      <c r="I68" s="260"/>
      <c r="J68" s="205">
        <f>ROUND(J65*D68,2)</f>
        <v>5554467.3499999996</v>
      </c>
      <c r="K68" s="307"/>
      <c r="L68" s="205">
        <f>ROUND(L65*D68,2)</f>
        <v>2437341.7000000002</v>
      </c>
      <c r="M68" s="260"/>
      <c r="N68" s="205">
        <f>ROUND(N65*D68,2)</f>
        <v>4667861.3</v>
      </c>
      <c r="O68" s="346">
        <f t="shared" si="15"/>
        <v>4667861.3000000007</v>
      </c>
      <c r="P68" s="346">
        <f t="shared" si="16"/>
        <v>0</v>
      </c>
      <c r="R68" s="157">
        <v>892207.84</v>
      </c>
      <c r="T68" s="329">
        <f t="shared" si="2"/>
        <v>0</v>
      </c>
    </row>
    <row r="69" spans="1:20" ht="18.75" customHeight="1" x14ac:dyDescent="0.25">
      <c r="A69" s="504" t="s">
        <v>787</v>
      </c>
      <c r="B69" s="505"/>
      <c r="C69" s="211"/>
      <c r="D69" s="279"/>
      <c r="E69" s="212"/>
      <c r="F69" s="213">
        <f>ROUND(F65+F66+F67+F68,2)</f>
        <v>150077970.44999999</v>
      </c>
      <c r="G69" s="259"/>
      <c r="H69" s="213">
        <f>ROUND(H65+H66+H67+H68,2)</f>
        <v>60224029.200000003</v>
      </c>
      <c r="I69" s="259"/>
      <c r="J69" s="213">
        <f>ROUND(J65+J66+J67+J68,2)</f>
        <v>149970618.44999999</v>
      </c>
      <c r="K69" s="308"/>
      <c r="L69" s="308">
        <f>ROUND(L65+L66+L67+L68,2)</f>
        <v>65808225.899999999</v>
      </c>
      <c r="M69" s="259"/>
      <c r="N69" s="213">
        <f>ROUND(N65+N66+N67+N68,2)</f>
        <v>126032255.09999999</v>
      </c>
      <c r="O69" s="346">
        <f t="shared" si="15"/>
        <v>126032255.09999999</v>
      </c>
      <c r="P69" s="346">
        <f t="shared" si="16"/>
        <v>0</v>
      </c>
      <c r="R69" s="157">
        <v>2230519.6</v>
      </c>
      <c r="T69" s="329">
        <f t="shared" si="2"/>
        <v>0</v>
      </c>
    </row>
    <row r="70" spans="1:20" ht="21.95" hidden="1" customHeight="1" thickBot="1" x14ac:dyDescent="0.3">
      <c r="A70" s="522" t="s">
        <v>788</v>
      </c>
      <c r="B70" s="523"/>
      <c r="C70" s="273"/>
      <c r="D70" s="248">
        <v>0.2</v>
      </c>
      <c r="E70" s="214"/>
      <c r="F70" s="215">
        <f>ROUND(F69*D70,0)</f>
        <v>30015594</v>
      </c>
      <c r="G70" s="268"/>
      <c r="H70" s="217"/>
      <c r="I70" s="331"/>
      <c r="J70" s="218"/>
      <c r="K70" s="309"/>
      <c r="L70" s="309"/>
      <c r="M70" s="268"/>
      <c r="N70" s="218"/>
      <c r="O70" s="346">
        <f t="shared" si="15"/>
        <v>0</v>
      </c>
      <c r="P70" s="346">
        <f t="shared" si="16"/>
        <v>0</v>
      </c>
      <c r="R70" s="157">
        <v>60224029.200000003</v>
      </c>
      <c r="T70" s="329">
        <f t="shared" si="2"/>
        <v>0</v>
      </c>
    </row>
    <row r="71" spans="1:20" ht="21.95" hidden="1" customHeight="1" x14ac:dyDescent="0.25">
      <c r="A71" s="507" t="s">
        <v>789</v>
      </c>
      <c r="B71" s="508"/>
      <c r="C71" s="509"/>
      <c r="D71" s="510"/>
      <c r="E71" s="510"/>
      <c r="F71" s="510"/>
      <c r="G71" s="511"/>
      <c r="H71" s="219">
        <f>H69*D70</f>
        <v>12044805.840000002</v>
      </c>
      <c r="I71" s="332"/>
      <c r="J71" s="333"/>
      <c r="K71" s="310"/>
      <c r="L71" s="310"/>
      <c r="M71" s="271"/>
      <c r="N71" s="219">
        <f>N69*D70</f>
        <v>25206451.02</v>
      </c>
      <c r="O71" s="346">
        <f t="shared" si="15"/>
        <v>12044805.840000002</v>
      </c>
      <c r="P71" s="346">
        <f t="shared" si="16"/>
        <v>13161645.179999998</v>
      </c>
      <c r="T71" s="329">
        <f t="shared" si="2"/>
        <v>0</v>
      </c>
    </row>
    <row r="72" spans="1:20" ht="21.95" hidden="1" customHeight="1" x14ac:dyDescent="0.25">
      <c r="A72" s="512" t="s">
        <v>790</v>
      </c>
      <c r="B72" s="513"/>
      <c r="C72" s="514"/>
      <c r="D72" s="515"/>
      <c r="E72" s="515"/>
      <c r="F72" s="515"/>
      <c r="G72" s="516"/>
      <c r="H72" s="205">
        <f>F70-H71</f>
        <v>17970788.159999996</v>
      </c>
      <c r="I72" s="334"/>
      <c r="J72" s="335"/>
      <c r="K72" s="307"/>
      <c r="L72" s="307"/>
      <c r="M72" s="260"/>
      <c r="N72" s="205">
        <f>F70-N71</f>
        <v>4809142.9800000004</v>
      </c>
      <c r="O72" s="346">
        <f t="shared" si="15"/>
        <v>17970788.159999996</v>
      </c>
      <c r="P72" s="346">
        <f t="shared" si="16"/>
        <v>-13161645.179999996</v>
      </c>
      <c r="R72" s="157">
        <v>12044805.840000002</v>
      </c>
      <c r="T72" s="329">
        <f t="shared" si="2"/>
        <v>0</v>
      </c>
    </row>
    <row r="73" spans="1:20" ht="21.95" hidden="1" customHeight="1" thickBot="1" x14ac:dyDescent="0.3">
      <c r="A73" s="517" t="s">
        <v>791</v>
      </c>
      <c r="B73" s="518"/>
      <c r="C73" s="519"/>
      <c r="D73" s="520"/>
      <c r="E73" s="520"/>
      <c r="F73" s="520"/>
      <c r="G73" s="521"/>
      <c r="H73" s="220">
        <f>H69-H71</f>
        <v>48179223.359999999</v>
      </c>
      <c r="I73" s="336"/>
      <c r="J73" s="337"/>
      <c r="K73" s="311"/>
      <c r="L73" s="311"/>
      <c r="M73" s="272"/>
      <c r="N73" s="220">
        <f>N69-N71</f>
        <v>100825804.08</v>
      </c>
      <c r="O73" s="346">
        <f t="shared" si="15"/>
        <v>48179223.359999999</v>
      </c>
      <c r="P73" s="346">
        <f t="shared" si="16"/>
        <v>52646580.719999999</v>
      </c>
      <c r="R73" s="157">
        <v>17970788.159999996</v>
      </c>
      <c r="T73" s="329">
        <f t="shared" si="2"/>
        <v>0</v>
      </c>
    </row>
    <row r="74" spans="1:20" ht="18.75" customHeight="1" x14ac:dyDescent="0.25">
      <c r="A74" s="502" t="s">
        <v>792</v>
      </c>
      <c r="B74" s="503"/>
      <c r="C74" s="221"/>
      <c r="D74" s="249"/>
      <c r="E74" s="204"/>
      <c r="F74" s="222"/>
      <c r="G74" s="260"/>
      <c r="H74" s="223">
        <v>0</v>
      </c>
      <c r="I74" s="338"/>
      <c r="J74" s="339">
        <v>0</v>
      </c>
      <c r="K74" s="312"/>
      <c r="L74" s="312">
        <v>0</v>
      </c>
      <c r="M74" s="260"/>
      <c r="N74" s="312">
        <v>0</v>
      </c>
      <c r="O74" s="346">
        <f t="shared" si="15"/>
        <v>0</v>
      </c>
      <c r="P74" s="346">
        <f t="shared" si="16"/>
        <v>0</v>
      </c>
      <c r="R74" s="157">
        <v>48179223.359999999</v>
      </c>
      <c r="T74" s="329">
        <f t="shared" si="2"/>
        <v>0</v>
      </c>
    </row>
    <row r="75" spans="1:20" ht="18.75" customHeight="1" thickBot="1" x14ac:dyDescent="0.3">
      <c r="A75" s="611" t="s">
        <v>793</v>
      </c>
      <c r="B75" s="612"/>
      <c r="C75" s="340"/>
      <c r="D75" s="341"/>
      <c r="E75" s="342"/>
      <c r="F75" s="220"/>
      <c r="G75" s="272"/>
      <c r="H75" s="220"/>
      <c r="I75" s="336"/>
      <c r="J75" s="337"/>
      <c r="K75" s="311"/>
      <c r="L75" s="311">
        <f>+L69</f>
        <v>65808225.899999999</v>
      </c>
      <c r="M75" s="272"/>
      <c r="N75" s="343"/>
    </row>
    <row r="76" spans="1:20" ht="28.5" customHeight="1" x14ac:dyDescent="0.25">
      <c r="A76" s="224"/>
      <c r="H76" s="225"/>
      <c r="I76" s="225"/>
      <c r="J76" s="225"/>
      <c r="K76" s="225"/>
      <c r="L76" s="225"/>
      <c r="N76" s="226"/>
    </row>
    <row r="77" spans="1:20" ht="36.75" customHeight="1" x14ac:dyDescent="0.25">
      <c r="A77" s="224"/>
      <c r="H77" s="225"/>
      <c r="I77" s="225"/>
      <c r="J77" s="225"/>
      <c r="K77" s="225"/>
      <c r="L77" s="225"/>
      <c r="N77" s="226"/>
    </row>
    <row r="78" spans="1:20" ht="15.75" customHeight="1" x14ac:dyDescent="0.25">
      <c r="A78" s="224"/>
      <c r="B78" s="227"/>
      <c r="E78" s="227"/>
      <c r="F78" s="227"/>
      <c r="G78" s="263"/>
      <c r="H78" s="227"/>
      <c r="I78" s="227"/>
      <c r="J78" s="227"/>
      <c r="K78" s="227"/>
      <c r="L78" s="227"/>
      <c r="M78" s="263"/>
      <c r="N78" s="226"/>
    </row>
    <row r="79" spans="1:20" ht="15.75" customHeight="1" x14ac:dyDescent="0.25">
      <c r="A79" s="224"/>
      <c r="B79" s="228" t="s">
        <v>800</v>
      </c>
      <c r="C79" s="230"/>
      <c r="D79" s="251"/>
      <c r="E79" s="506" t="s">
        <v>794</v>
      </c>
      <c r="F79" s="506"/>
      <c r="G79" s="506" t="s">
        <v>795</v>
      </c>
      <c r="H79" s="506"/>
      <c r="I79" s="506"/>
      <c r="J79" s="506"/>
      <c r="K79" s="506"/>
      <c r="L79" s="506"/>
      <c r="M79" s="506"/>
      <c r="N79" s="229"/>
    </row>
    <row r="80" spans="1:20" x14ac:dyDescent="0.25">
      <c r="A80" s="224"/>
      <c r="B80" s="230" t="s">
        <v>801</v>
      </c>
      <c r="C80" s="230"/>
      <c r="D80" s="251"/>
      <c r="E80" s="506" t="s">
        <v>797</v>
      </c>
      <c r="F80" s="506"/>
      <c r="G80" s="506" t="s">
        <v>798</v>
      </c>
      <c r="H80" s="506"/>
      <c r="I80" s="506"/>
      <c r="J80" s="506"/>
      <c r="K80" s="506"/>
      <c r="L80" s="506"/>
      <c r="M80" s="506"/>
      <c r="N80" s="229"/>
    </row>
    <row r="81" spans="1:18" ht="12.75" thickBot="1" x14ac:dyDescent="0.3">
      <c r="A81" s="231"/>
      <c r="B81" s="232" t="s">
        <v>796</v>
      </c>
      <c r="C81" s="232"/>
      <c r="D81" s="252"/>
      <c r="E81" s="233"/>
      <c r="F81" s="233"/>
      <c r="G81" s="501"/>
      <c r="H81" s="501"/>
      <c r="I81" s="501"/>
      <c r="J81" s="501"/>
      <c r="K81" s="501"/>
      <c r="L81" s="501"/>
      <c r="M81" s="501"/>
      <c r="N81" s="234"/>
    </row>
    <row r="82" spans="1:18" x14ac:dyDescent="0.25">
      <c r="A82" s="235"/>
    </row>
    <row r="84" spans="1:18" ht="28.5" customHeight="1" x14ac:dyDescent="0.25">
      <c r="F84" s="346">
        <f>+F65-J65</f>
        <v>79520</v>
      </c>
      <c r="H84" s="157">
        <f>88*3.4*0.2</f>
        <v>59.84</v>
      </c>
      <c r="J84" s="344">
        <f>SUM(J12:J63)</f>
        <v>222178694</v>
      </c>
      <c r="K84" s="344"/>
      <c r="L84" s="344">
        <f>SUM(L12:L63)</f>
        <v>97493668</v>
      </c>
      <c r="M84" s="344"/>
      <c r="N84" s="344">
        <f>SUM(N12:N63)</f>
        <v>186714452</v>
      </c>
    </row>
    <row r="85" spans="1:18" x14ac:dyDescent="0.25">
      <c r="F85" s="236"/>
      <c r="J85" s="344">
        <f>+J84/2</f>
        <v>111089347</v>
      </c>
      <c r="K85" s="344"/>
      <c r="L85" s="344">
        <f t="shared" ref="L85:N85" si="17">+L84/2</f>
        <v>48746834</v>
      </c>
      <c r="M85" s="344"/>
      <c r="N85" s="344">
        <f t="shared" si="17"/>
        <v>93357226</v>
      </c>
    </row>
    <row r="86" spans="1:18" ht="16.5" customHeight="1" x14ac:dyDescent="0.25">
      <c r="F86" s="344"/>
      <c r="H86" s="238"/>
      <c r="I86" s="238"/>
      <c r="J86" s="344">
        <f>+J65-J85</f>
        <v>0</v>
      </c>
      <c r="K86" s="344"/>
      <c r="L86" s="344">
        <f t="shared" ref="L86:N86" si="18">+L65-L85</f>
        <v>0</v>
      </c>
      <c r="M86" s="344"/>
      <c r="N86" s="344">
        <f t="shared" si="18"/>
        <v>0</v>
      </c>
    </row>
    <row r="87" spans="1:18" ht="14.25" customHeight="1" x14ac:dyDescent="0.25">
      <c r="H87" s="238"/>
      <c r="I87" s="238"/>
      <c r="J87" s="344"/>
      <c r="K87" s="344"/>
      <c r="L87" s="344"/>
      <c r="M87" s="344"/>
      <c r="N87" s="344"/>
    </row>
    <row r="88" spans="1:18" ht="15.75" customHeight="1" x14ac:dyDescent="0.25">
      <c r="H88" s="238"/>
      <c r="I88" s="238"/>
      <c r="J88" s="238"/>
      <c r="K88" s="238"/>
      <c r="L88" s="238"/>
    </row>
    <row r="89" spans="1:18" x14ac:dyDescent="0.25">
      <c r="H89" s="238"/>
      <c r="I89" s="238"/>
      <c r="J89" s="238"/>
      <c r="K89" s="238"/>
      <c r="L89" s="238"/>
    </row>
    <row r="90" spans="1:18" x14ac:dyDescent="0.25">
      <c r="H90" s="238"/>
      <c r="I90" s="238"/>
      <c r="J90" s="238"/>
      <c r="K90" s="238"/>
      <c r="L90" s="238"/>
    </row>
    <row r="91" spans="1:18" x14ac:dyDescent="0.25">
      <c r="H91" s="238"/>
      <c r="I91" s="238"/>
      <c r="J91" s="238"/>
      <c r="K91" s="238"/>
      <c r="L91" s="238"/>
    </row>
    <row r="92" spans="1:18" x14ac:dyDescent="0.25">
      <c r="H92" s="238"/>
      <c r="I92" s="238"/>
      <c r="J92" s="238"/>
      <c r="K92" s="238"/>
      <c r="L92" s="238"/>
    </row>
    <row r="94" spans="1:18" x14ac:dyDescent="0.25">
      <c r="H94" s="238"/>
      <c r="I94" s="238"/>
      <c r="J94" s="238"/>
      <c r="K94" s="238"/>
      <c r="L94" s="238"/>
    </row>
    <row r="96" spans="1:18" s="250" customFormat="1" ht="27" customHeight="1" x14ac:dyDescent="0.25">
      <c r="A96" s="157"/>
      <c r="B96" s="157"/>
      <c r="C96" s="274"/>
      <c r="D96" s="276"/>
      <c r="E96" s="157"/>
      <c r="F96" s="157"/>
      <c r="H96" s="239"/>
      <c r="I96" s="239"/>
      <c r="J96" s="239"/>
      <c r="K96" s="239"/>
      <c r="L96" s="239"/>
      <c r="N96" s="157"/>
      <c r="O96" s="157"/>
      <c r="P96" s="157"/>
      <c r="Q96" s="157"/>
      <c r="R96" s="157"/>
    </row>
    <row r="98" spans="1:18" s="250" customFormat="1" x14ac:dyDescent="0.25">
      <c r="A98" s="157"/>
      <c r="B98" s="157"/>
      <c r="C98" s="274"/>
      <c r="D98" s="276"/>
      <c r="E98" s="157"/>
      <c r="F98" s="157"/>
      <c r="H98" s="238"/>
      <c r="I98" s="238"/>
      <c r="J98" s="238"/>
      <c r="K98" s="238"/>
      <c r="L98" s="238"/>
      <c r="N98" s="157"/>
      <c r="O98" s="157"/>
      <c r="P98" s="157"/>
      <c r="Q98" s="157"/>
      <c r="R98" s="157"/>
    </row>
  </sheetData>
  <mergeCells count="43">
    <mergeCell ref="G81:M81"/>
    <mergeCell ref="K9:L9"/>
    <mergeCell ref="A74:B74"/>
    <mergeCell ref="A75:B75"/>
    <mergeCell ref="E79:F79"/>
    <mergeCell ref="G79:M79"/>
    <mergeCell ref="E80:F80"/>
    <mergeCell ref="G80:M80"/>
    <mergeCell ref="A71:B71"/>
    <mergeCell ref="C71:G71"/>
    <mergeCell ref="A72:B72"/>
    <mergeCell ref="C72:G72"/>
    <mergeCell ref="A73:B73"/>
    <mergeCell ref="C73:G73"/>
    <mergeCell ref="A65:B65"/>
    <mergeCell ref="A66:B66"/>
    <mergeCell ref="A67:B67"/>
    <mergeCell ref="A68:B68"/>
    <mergeCell ref="A69:B69"/>
    <mergeCell ref="A70:B70"/>
    <mergeCell ref="A8:N8"/>
    <mergeCell ref="A9:A10"/>
    <mergeCell ref="B9:B10"/>
    <mergeCell ref="C9:F9"/>
    <mergeCell ref="G9:H9"/>
    <mergeCell ref="I9:J9"/>
    <mergeCell ref="M9:N9"/>
    <mergeCell ref="A3:B7"/>
    <mergeCell ref="C3:F7"/>
    <mergeCell ref="G4:N4"/>
    <mergeCell ref="L1:N1"/>
    <mergeCell ref="L2:N2"/>
    <mergeCell ref="A1:K2"/>
    <mergeCell ref="L3:N3"/>
    <mergeCell ref="G3:K3"/>
    <mergeCell ref="J6:L6"/>
    <mergeCell ref="M5:N5"/>
    <mergeCell ref="M6:N7"/>
    <mergeCell ref="J7:L7"/>
    <mergeCell ref="J5:L5"/>
    <mergeCell ref="G5:I5"/>
    <mergeCell ref="G6:I6"/>
    <mergeCell ref="G7:I7"/>
  </mergeCells>
  <conditionalFormatting sqref="G12:G62">
    <cfRule type="cellIs" dxfId="33" priority="11" stopIfTrue="1" operator="equal">
      <formula>"Columna1"</formula>
    </cfRule>
  </conditionalFormatting>
  <conditionalFormatting sqref="I12:I62">
    <cfRule type="cellIs" dxfId="32" priority="6" stopIfTrue="1" operator="equal">
      <formula>"Columna1"</formula>
    </cfRule>
  </conditionalFormatting>
  <conditionalFormatting sqref="K12:K54">
    <cfRule type="cellIs" dxfId="31" priority="4" stopIfTrue="1" operator="equal">
      <formula>"Columna1"</formula>
    </cfRule>
  </conditionalFormatting>
  <conditionalFormatting sqref="K56:K62">
    <cfRule type="cellIs" dxfId="30" priority="2" stopIfTrue="1" operator="equal">
      <formula>"Columna1"</formula>
    </cfRule>
  </conditionalFormatting>
  <conditionalFormatting sqref="M13:M63">
    <cfRule type="cellIs" dxfId="29" priority="9" stopIfTrue="1" operator="equal">
      <formula>"Columna1"</formula>
    </cfRule>
  </conditionalFormatting>
  <printOptions horizontalCentered="1"/>
  <pageMargins left="0.55118110236220474" right="0.31496062992125984" top="0.51181102362204722" bottom="0.39370078740157483" header="0" footer="0"/>
  <pageSetup scale="40" orientation="portrait" horizontalDpi="4294967293"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11</vt:i4>
      </vt:variant>
    </vt:vector>
  </HeadingPairs>
  <TitlesOfParts>
    <vt:vector size="28" baseType="lpstr">
      <vt:lpstr>PPTO</vt:lpstr>
      <vt:lpstr>NP APU</vt:lpstr>
      <vt:lpstr>APU OBRA</vt:lpstr>
      <vt:lpstr>PROYECCION</vt:lpstr>
      <vt:lpstr>MAYORES Y MENORES 1</vt:lpstr>
      <vt:lpstr>ACTA 2</vt:lpstr>
      <vt:lpstr>BALANCE</vt:lpstr>
      <vt:lpstr>MAYORES Y MENORES 2</vt:lpstr>
      <vt:lpstr>ACTA 02</vt:lpstr>
      <vt:lpstr>Actas de may y men"</vt:lpstr>
      <vt:lpstr>Acta de pago</vt:lpstr>
      <vt:lpstr>Acta de pago 2</vt:lpstr>
      <vt:lpstr>MEMORIAS</vt:lpstr>
      <vt:lpstr>MATERIALES</vt:lpstr>
      <vt:lpstr>TRANSPORTE</vt:lpstr>
      <vt:lpstr>EQUIPO</vt:lpstr>
      <vt:lpstr>MANO DE OBRA</vt:lpstr>
      <vt:lpstr>'ACTA 02'!Área_de_impresión</vt:lpstr>
      <vt:lpstr>'ACTA 2'!Área_de_impresión</vt:lpstr>
      <vt:lpstr>'Actas de may y men"'!Área_de_impresión</vt:lpstr>
      <vt:lpstr>'APU OBRA'!Área_de_impresión</vt:lpstr>
      <vt:lpstr>BALANCE!Área_de_impresión</vt:lpstr>
      <vt:lpstr>'MAYORES Y MENORES 1'!Área_de_impresión</vt:lpstr>
      <vt:lpstr>'MAYORES Y MENORES 2'!Área_de_impresión</vt:lpstr>
      <vt:lpstr>MEMORIAS!Área_de_impresión</vt:lpstr>
      <vt:lpstr>'NP APU'!Área_de_impresión</vt:lpstr>
      <vt:lpstr>PPTO!Área_de_impresión</vt:lpstr>
      <vt:lpstr>PROYECCION!Área_de_impresión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Toshiba</dc:creator>
  <cp:keywords/>
  <dc:description/>
  <cp:lastModifiedBy>Soly M. Moreno Sierra</cp:lastModifiedBy>
  <cp:revision/>
  <cp:lastPrinted>2019-12-13T20:14:03Z</cp:lastPrinted>
  <dcterms:created xsi:type="dcterms:W3CDTF">2018-04-27T16:05:37Z</dcterms:created>
  <dcterms:modified xsi:type="dcterms:W3CDTF">2025-04-28T15:42:39Z</dcterms:modified>
  <cp:category/>
  <cp:contentStatus/>
</cp:coreProperties>
</file>